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pilargonzalez/Downloads/"/>
    </mc:Choice>
  </mc:AlternateContent>
  <xr:revisionPtr revIDLastSave="0" documentId="13_ncr:1_{E1F0784D-B00F-1446-8225-9AEDD3C3103C}" xr6:coauthVersionLast="47" xr6:coauthVersionMax="47" xr10:uidLastSave="{00000000-0000-0000-0000-000000000000}"/>
  <bookViews>
    <workbookView xWindow="0" yWindow="660" windowWidth="29400" windowHeight="17240" tabRatio="500" activeTab="3" xr2:uid="{00000000-000D-0000-FFFF-FFFF00000000}"/>
  </bookViews>
  <sheets>
    <sheet name="Assumptions" sheetId="1" r:id="rId1"/>
    <sheet name="Conservative" sheetId="2" r:id="rId2"/>
    <sheet name="Realistic" sheetId="3" r:id="rId3"/>
    <sheet name="Ambitious" sheetId="4" r:id="rId4"/>
    <sheet name="Summary" sheetId="5" r:id="rId5"/>
    <sheet name="Sensitivity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4" i="4" l="1"/>
  <c r="J42" i="3"/>
  <c r="AK24" i="3"/>
  <c r="B53" i="4"/>
  <c r="B52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C33" i="4"/>
  <c r="B33" i="4"/>
  <c r="F32" i="4"/>
  <c r="E32" i="4"/>
  <c r="D32" i="4"/>
  <c r="C32" i="4"/>
  <c r="B32" i="4"/>
  <c r="F31" i="4"/>
  <c r="E31" i="4"/>
  <c r="D31" i="4"/>
  <c r="C31" i="4"/>
  <c r="B31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F22" i="4"/>
  <c r="E22" i="4"/>
  <c r="D22" i="4"/>
  <c r="C22" i="4"/>
  <c r="B22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F20" i="4"/>
  <c r="E20" i="4"/>
  <c r="D20" i="4"/>
  <c r="C20" i="4"/>
  <c r="B20" i="4"/>
  <c r="L19" i="4"/>
  <c r="K19" i="4"/>
  <c r="J19" i="4"/>
  <c r="I19" i="4"/>
  <c r="H19" i="4"/>
  <c r="G19" i="4"/>
  <c r="F19" i="4"/>
  <c r="E19" i="4"/>
  <c r="D19" i="4"/>
  <c r="C19" i="4"/>
  <c r="B19" i="4"/>
  <c r="G14" i="4"/>
  <c r="F14" i="4"/>
  <c r="E14" i="4"/>
  <c r="D14" i="4"/>
  <c r="C14" i="4"/>
  <c r="B14" i="4"/>
  <c r="G13" i="4"/>
  <c r="F13" i="4"/>
  <c r="E13" i="4"/>
  <c r="D13" i="4"/>
  <c r="C13" i="4"/>
  <c r="B13" i="4"/>
  <c r="L12" i="4"/>
  <c r="K12" i="4"/>
  <c r="J12" i="4"/>
  <c r="I12" i="4"/>
  <c r="H12" i="4"/>
  <c r="G12" i="4"/>
  <c r="F12" i="4"/>
  <c r="E12" i="4"/>
  <c r="D12" i="4"/>
  <c r="C12" i="4"/>
  <c r="B12" i="4"/>
  <c r="L10" i="4"/>
  <c r="K10" i="4"/>
  <c r="J10" i="4"/>
  <c r="I10" i="4"/>
  <c r="H10" i="4"/>
  <c r="G10" i="4"/>
  <c r="F10" i="4"/>
  <c r="E10" i="4"/>
  <c r="D10" i="4"/>
  <c r="C10" i="4"/>
  <c r="B10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B5" i="4"/>
  <c r="B53" i="3"/>
  <c r="B52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C33" i="3"/>
  <c r="B33" i="3"/>
  <c r="F32" i="3"/>
  <c r="E32" i="3"/>
  <c r="D32" i="3"/>
  <c r="C32" i="3"/>
  <c r="B32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F22" i="3"/>
  <c r="E22" i="3"/>
  <c r="D22" i="3"/>
  <c r="C22" i="3"/>
  <c r="B22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F20" i="3"/>
  <c r="E20" i="3"/>
  <c r="D20" i="3"/>
  <c r="C20" i="3"/>
  <c r="B20" i="3"/>
  <c r="M19" i="3"/>
  <c r="L19" i="3"/>
  <c r="K19" i="3"/>
  <c r="J19" i="3"/>
  <c r="I19" i="3"/>
  <c r="H19" i="3"/>
  <c r="G19" i="3"/>
  <c r="F19" i="3"/>
  <c r="E19" i="3"/>
  <c r="D19" i="3"/>
  <c r="C19" i="3"/>
  <c r="B19" i="3"/>
  <c r="G14" i="3"/>
  <c r="F14" i="3"/>
  <c r="E14" i="3"/>
  <c r="D14" i="3"/>
  <c r="C14" i="3"/>
  <c r="B14" i="3"/>
  <c r="G13" i="3"/>
  <c r="F13" i="3"/>
  <c r="E13" i="3"/>
  <c r="D13" i="3"/>
  <c r="C13" i="3"/>
  <c r="B13" i="3"/>
  <c r="M12" i="3"/>
  <c r="L12" i="3"/>
  <c r="K12" i="3"/>
  <c r="J12" i="3"/>
  <c r="I12" i="3"/>
  <c r="H12" i="3"/>
  <c r="G12" i="3"/>
  <c r="F12" i="3"/>
  <c r="E12" i="3"/>
  <c r="D12" i="3"/>
  <c r="C12" i="3"/>
  <c r="B12" i="3"/>
  <c r="M10" i="3"/>
  <c r="L10" i="3"/>
  <c r="K10" i="3"/>
  <c r="J10" i="3"/>
  <c r="I10" i="3"/>
  <c r="H10" i="3"/>
  <c r="G10" i="3"/>
  <c r="F10" i="3"/>
  <c r="E10" i="3"/>
  <c r="D10" i="3"/>
  <c r="C10" i="3"/>
  <c r="B10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B5" i="3"/>
  <c r="B53" i="2"/>
  <c r="B52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C33" i="2"/>
  <c r="B33" i="2"/>
  <c r="F32" i="2"/>
  <c r="E32" i="2"/>
  <c r="D32" i="2"/>
  <c r="C32" i="2"/>
  <c r="B32" i="2"/>
  <c r="F31" i="2"/>
  <c r="E31" i="2"/>
  <c r="D31" i="2"/>
  <c r="C31" i="2"/>
  <c r="B31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G22" i="2"/>
  <c r="F22" i="2"/>
  <c r="E22" i="2"/>
  <c r="D22" i="2"/>
  <c r="C22" i="2"/>
  <c r="B22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F20" i="2"/>
  <c r="E20" i="2"/>
  <c r="D20" i="2"/>
  <c r="C20" i="2"/>
  <c r="B20" i="2"/>
  <c r="M19" i="2"/>
  <c r="L19" i="2"/>
  <c r="K19" i="2"/>
  <c r="J19" i="2"/>
  <c r="I19" i="2"/>
  <c r="H19" i="2"/>
  <c r="G19" i="2"/>
  <c r="F19" i="2"/>
  <c r="E19" i="2"/>
  <c r="D19" i="2"/>
  <c r="C19" i="2"/>
  <c r="B19" i="2"/>
  <c r="G14" i="2"/>
  <c r="F14" i="2"/>
  <c r="E14" i="2"/>
  <c r="D14" i="2"/>
  <c r="C14" i="2"/>
  <c r="B14" i="2"/>
  <c r="G13" i="2"/>
  <c r="F13" i="2"/>
  <c r="E13" i="2"/>
  <c r="D13" i="2"/>
  <c r="C13" i="2"/>
  <c r="B13" i="2"/>
  <c r="M12" i="2"/>
  <c r="L12" i="2"/>
  <c r="K12" i="2"/>
  <c r="J12" i="2"/>
  <c r="I12" i="2"/>
  <c r="H12" i="2"/>
  <c r="G12" i="2"/>
  <c r="F12" i="2"/>
  <c r="E12" i="2"/>
  <c r="D12" i="2"/>
  <c r="C12" i="2"/>
  <c r="B12" i="2"/>
  <c r="M10" i="2"/>
  <c r="L10" i="2"/>
  <c r="K10" i="2"/>
  <c r="J10" i="2"/>
  <c r="I10" i="2"/>
  <c r="H10" i="2"/>
  <c r="G10" i="2"/>
  <c r="F10" i="2"/>
  <c r="E10" i="2"/>
  <c r="D10" i="2"/>
  <c r="C10" i="2"/>
  <c r="B10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B5" i="2"/>
  <c r="AN47" i="4" l="1"/>
  <c r="AM41" i="4"/>
  <c r="AM40" i="4"/>
  <c r="AM39" i="4"/>
  <c r="AM38" i="4"/>
  <c r="AN37" i="4"/>
  <c r="AL37" i="4"/>
  <c r="AM36" i="4"/>
  <c r="AM35" i="4"/>
  <c r="AL35" i="4"/>
  <c r="AN34" i="4"/>
  <c r="AM34" i="4"/>
  <c r="AL34" i="4"/>
  <c r="AN23" i="4"/>
  <c r="AM23" i="4"/>
  <c r="AL23" i="4"/>
  <c r="G22" i="4"/>
  <c r="AN21" i="4"/>
  <c r="AM21" i="4"/>
  <c r="AL21" i="4"/>
  <c r="H13" i="4"/>
  <c r="G20" i="3"/>
  <c r="G31" i="3" s="1"/>
  <c r="AL19" i="3"/>
  <c r="AL12" i="3"/>
  <c r="AL10" i="3"/>
  <c r="AH9" i="3"/>
  <c r="AE9" i="3"/>
  <c r="AB9" i="3"/>
  <c r="Z9" i="3"/>
  <c r="X9" i="3"/>
  <c r="T9" i="3"/>
  <c r="P9" i="3"/>
  <c r="N9" i="3"/>
  <c r="K9" i="3"/>
  <c r="I9" i="3"/>
  <c r="F9" i="3"/>
  <c r="B9" i="3"/>
  <c r="AM7" i="3"/>
  <c r="G20" i="4"/>
  <c r="G31" i="4" s="1"/>
  <c r="AK9" i="4"/>
  <c r="AJ9" i="4"/>
  <c r="AI9" i="4"/>
  <c r="AH9" i="4"/>
  <c r="AG9" i="4"/>
  <c r="AF9" i="4"/>
  <c r="AE9" i="4"/>
  <c r="AD9" i="4"/>
  <c r="AC9" i="4"/>
  <c r="AB9" i="4"/>
  <c r="AA9" i="4"/>
  <c r="Z9" i="4"/>
  <c r="AN9" i="4" s="1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AL9" i="4" s="1"/>
  <c r="AN8" i="4"/>
  <c r="AM8" i="4"/>
  <c r="AL8" i="4"/>
  <c r="AN7" i="4"/>
  <c r="AM7" i="4"/>
  <c r="AL7" i="4"/>
  <c r="B6" i="4"/>
  <c r="C5" i="4"/>
  <c r="B57" i="3"/>
  <c r="B55" i="3"/>
  <c r="AL23" i="2"/>
  <c r="AN35" i="3"/>
  <c r="AM35" i="3"/>
  <c r="AL35" i="3"/>
  <c r="AN34" i="3"/>
  <c r="AM34" i="3"/>
  <c r="AL34" i="3"/>
  <c r="F31" i="3"/>
  <c r="E31" i="3"/>
  <c r="D31" i="3"/>
  <c r="C31" i="3"/>
  <c r="B31" i="3"/>
  <c r="AN23" i="3"/>
  <c r="AM23" i="3"/>
  <c r="AL23" i="3"/>
  <c r="AM23" i="2"/>
  <c r="AN21" i="2"/>
  <c r="B6" i="3"/>
  <c r="C5" i="3"/>
  <c r="B57" i="2"/>
  <c r="B55" i="2"/>
  <c r="AN47" i="2"/>
  <c r="AM47" i="2"/>
  <c r="AL47" i="2"/>
  <c r="AN41" i="2"/>
  <c r="AM41" i="2"/>
  <c r="AL41" i="2"/>
  <c r="AN40" i="2"/>
  <c r="AM40" i="2"/>
  <c r="AL40" i="2"/>
  <c r="AN39" i="2"/>
  <c r="AM39" i="2"/>
  <c r="AL39" i="2"/>
  <c r="AN38" i="2"/>
  <c r="AM38" i="2"/>
  <c r="AL38" i="2"/>
  <c r="AN37" i="2"/>
  <c r="AM37" i="2"/>
  <c r="AL37" i="2"/>
  <c r="AN36" i="2"/>
  <c r="AM36" i="2"/>
  <c r="AL36" i="2"/>
  <c r="AN35" i="2"/>
  <c r="AM35" i="2"/>
  <c r="AL35" i="2"/>
  <c r="AN34" i="2"/>
  <c r="AM34" i="2"/>
  <c r="AL34" i="2"/>
  <c r="G20" i="2"/>
  <c r="G31" i="2" s="1"/>
  <c r="AL19" i="2"/>
  <c r="H14" i="2"/>
  <c r="H13" i="2"/>
  <c r="AL12" i="2"/>
  <c r="AL10" i="2"/>
  <c r="AK9" i="2"/>
  <c r="AJ9" i="2"/>
  <c r="AI9" i="2"/>
  <c r="AH9" i="2"/>
  <c r="AG9" i="2"/>
  <c r="AF9" i="2"/>
  <c r="AE9" i="2"/>
  <c r="AD9" i="2"/>
  <c r="AC9" i="2"/>
  <c r="AB9" i="2"/>
  <c r="AA9" i="2"/>
  <c r="Z9" i="2"/>
  <c r="AN9" i="2" s="1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L9" i="2" s="1"/>
  <c r="AN8" i="2"/>
  <c r="AM8" i="2"/>
  <c r="AL8" i="2"/>
  <c r="AN7" i="2"/>
  <c r="AM7" i="2"/>
  <c r="AL7" i="2"/>
  <c r="B6" i="2"/>
  <c r="C5" i="2"/>
  <c r="AJ9" i="3"/>
  <c r="AF9" i="3"/>
  <c r="AC9" i="3"/>
  <c r="Y9" i="3"/>
  <c r="V9" i="3"/>
  <c r="S9" i="3"/>
  <c r="Q9" i="3"/>
  <c r="M9" i="3"/>
  <c r="J9" i="3"/>
  <c r="G9" i="3"/>
  <c r="D9" i="3"/>
  <c r="AM8" i="3"/>
  <c r="AL7" i="3"/>
  <c r="AN41" i="4"/>
  <c r="AL41" i="4"/>
  <c r="AN40" i="4"/>
  <c r="AL40" i="4"/>
  <c r="AN39" i="4"/>
  <c r="AL39" i="4"/>
  <c r="AN38" i="4"/>
  <c r="AL38" i="4"/>
  <c r="AM37" i="4"/>
  <c r="AN36" i="4"/>
  <c r="AL36" i="4"/>
  <c r="AN35" i="4"/>
  <c r="AN47" i="3"/>
  <c r="AM47" i="3"/>
  <c r="AL47" i="3"/>
  <c r="AN41" i="3"/>
  <c r="AM41" i="3"/>
  <c r="AL41" i="3"/>
  <c r="AN40" i="3"/>
  <c r="AM40" i="3"/>
  <c r="AL40" i="3"/>
  <c r="AN39" i="3"/>
  <c r="AM39" i="3"/>
  <c r="AL39" i="3"/>
  <c r="AN38" i="3"/>
  <c r="AM38" i="3"/>
  <c r="AL38" i="3"/>
  <c r="AN37" i="3"/>
  <c r="AM37" i="3"/>
  <c r="AL37" i="3"/>
  <c r="AN36" i="3"/>
  <c r="AM36" i="3"/>
  <c r="AL36" i="3"/>
  <c r="G22" i="3"/>
  <c r="AN21" i="3"/>
  <c r="AM21" i="3"/>
  <c r="AL21" i="3"/>
  <c r="H14" i="3"/>
  <c r="H13" i="3"/>
  <c r="AK9" i="3"/>
  <c r="AI9" i="3"/>
  <c r="AG9" i="3"/>
  <c r="AD9" i="3"/>
  <c r="AA9" i="3"/>
  <c r="W9" i="3"/>
  <c r="U9" i="3"/>
  <c r="R9" i="3"/>
  <c r="O9" i="3"/>
  <c r="L9" i="3"/>
  <c r="H9" i="3"/>
  <c r="E9" i="3"/>
  <c r="C9" i="3"/>
  <c r="AN8" i="3"/>
  <c r="AL8" i="3"/>
  <c r="AN7" i="3"/>
  <c r="AN23" i="2"/>
  <c r="B57" i="4"/>
  <c r="B55" i="4"/>
  <c r="AM47" i="4"/>
  <c r="AL47" i="4"/>
  <c r="H14" i="4"/>
  <c r="H22" i="4" l="1"/>
  <c r="I13" i="4"/>
  <c r="AM9" i="3"/>
  <c r="B51" i="3"/>
  <c r="B54" i="3" s="1"/>
  <c r="AM9" i="4"/>
  <c r="B51" i="4"/>
  <c r="B54" i="4" s="1"/>
  <c r="B11" i="4"/>
  <c r="D5" i="4"/>
  <c r="C6" i="4"/>
  <c r="B11" i="3"/>
  <c r="D5" i="3"/>
  <c r="C6" i="3"/>
  <c r="I14" i="2"/>
  <c r="H20" i="2"/>
  <c r="H31" i="2" s="1"/>
  <c r="I13" i="2"/>
  <c r="H22" i="2"/>
  <c r="AM9" i="2"/>
  <c r="B51" i="2"/>
  <c r="B54" i="2" s="1"/>
  <c r="B11" i="2"/>
  <c r="D5" i="2"/>
  <c r="C6" i="2"/>
  <c r="I14" i="3"/>
  <c r="H20" i="3"/>
  <c r="H22" i="3"/>
  <c r="I13" i="3"/>
  <c r="H20" i="4"/>
  <c r="H31" i="4" s="1"/>
  <c r="I14" i="4"/>
  <c r="AN9" i="3"/>
  <c r="AL9" i="3"/>
  <c r="J13" i="4" l="1"/>
  <c r="I22" i="4"/>
  <c r="C11" i="4"/>
  <c r="B15" i="4"/>
  <c r="B18" i="4"/>
  <c r="C18" i="4"/>
  <c r="E5" i="4"/>
  <c r="D6" i="4"/>
  <c r="B18" i="3"/>
  <c r="B15" i="3"/>
  <c r="C11" i="3"/>
  <c r="E5" i="3"/>
  <c r="D6" i="3"/>
  <c r="J14" i="2"/>
  <c r="I20" i="2"/>
  <c r="J13" i="2"/>
  <c r="I22" i="2"/>
  <c r="C11" i="2"/>
  <c r="B15" i="2"/>
  <c r="B18" i="2"/>
  <c r="C18" i="2"/>
  <c r="E5" i="2"/>
  <c r="D6" i="2"/>
  <c r="J14" i="3"/>
  <c r="I20" i="3"/>
  <c r="I31" i="3" s="1"/>
  <c r="H31" i="3"/>
  <c r="J13" i="3"/>
  <c r="I22" i="3"/>
  <c r="J14" i="4"/>
  <c r="I20" i="4"/>
  <c r="K13" i="4" l="1"/>
  <c r="J22" i="4"/>
  <c r="D11" i="4"/>
  <c r="C15" i="4"/>
  <c r="D18" i="4"/>
  <c r="B24" i="4"/>
  <c r="B25" i="4"/>
  <c r="B26" i="4" s="1"/>
  <c r="B29" i="4"/>
  <c r="B30" i="4" s="1"/>
  <c r="C29" i="4"/>
  <c r="C30" i="4" s="1"/>
  <c r="C42" i="4" s="1"/>
  <c r="D29" i="4"/>
  <c r="D30" i="4" s="1"/>
  <c r="C24" i="4"/>
  <c r="C25" i="4"/>
  <c r="C26" i="4" s="1"/>
  <c r="F5" i="4"/>
  <c r="E6" i="4"/>
  <c r="B24" i="3"/>
  <c r="B25" i="3"/>
  <c r="B26" i="3" s="1"/>
  <c r="B29" i="3"/>
  <c r="B30" i="3" s="1"/>
  <c r="C29" i="3"/>
  <c r="C30" i="3" s="1"/>
  <c r="C42" i="3" s="1"/>
  <c r="D11" i="3"/>
  <c r="C15" i="3"/>
  <c r="D18" i="3"/>
  <c r="F5" i="3"/>
  <c r="E6" i="3"/>
  <c r="K14" i="2"/>
  <c r="J20" i="2"/>
  <c r="J31" i="2" s="1"/>
  <c r="I31" i="2"/>
  <c r="K13" i="2"/>
  <c r="J22" i="2"/>
  <c r="D11" i="2"/>
  <c r="C15" i="2"/>
  <c r="B25" i="2"/>
  <c r="B26" i="2" s="1"/>
  <c r="B24" i="2"/>
  <c r="B29" i="2"/>
  <c r="B30" i="2" s="1"/>
  <c r="C29" i="2"/>
  <c r="C30" i="2" s="1"/>
  <c r="C42" i="2" s="1"/>
  <c r="C24" i="2"/>
  <c r="C25" i="2"/>
  <c r="C26" i="2" s="1"/>
  <c r="F5" i="2"/>
  <c r="E6" i="2"/>
  <c r="J20" i="3"/>
  <c r="K14" i="3"/>
  <c r="K13" i="3"/>
  <c r="J22" i="3"/>
  <c r="K14" i="4"/>
  <c r="J20" i="4"/>
  <c r="J31" i="4" s="1"/>
  <c r="I31" i="4"/>
  <c r="C18" i="3"/>
  <c r="K22" i="4" l="1"/>
  <c r="L13" i="4"/>
  <c r="E11" i="4"/>
  <c r="D15" i="4"/>
  <c r="D33" i="4" s="1"/>
  <c r="E18" i="4"/>
  <c r="D25" i="4"/>
  <c r="D26" i="4" s="1"/>
  <c r="B45" i="4"/>
  <c r="B42" i="4"/>
  <c r="C45" i="4"/>
  <c r="C46" i="4"/>
  <c r="G5" i="4"/>
  <c r="F6" i="4"/>
  <c r="B45" i="3"/>
  <c r="B42" i="3"/>
  <c r="D15" i="3"/>
  <c r="D33" i="3" s="1"/>
  <c r="E11" i="3"/>
  <c r="D24" i="3"/>
  <c r="D25" i="3"/>
  <c r="D26" i="3" s="1"/>
  <c r="G5" i="3"/>
  <c r="F6" i="3"/>
  <c r="L14" i="2"/>
  <c r="K20" i="2"/>
  <c r="L13" i="2"/>
  <c r="K22" i="2"/>
  <c r="E11" i="2"/>
  <c r="D15" i="2"/>
  <c r="D33" i="2" s="1"/>
  <c r="E18" i="2"/>
  <c r="B45" i="2"/>
  <c r="B42" i="2"/>
  <c r="C45" i="2"/>
  <c r="C46" i="2"/>
  <c r="G5" i="2"/>
  <c r="F6" i="2"/>
  <c r="J31" i="3"/>
  <c r="L14" i="3"/>
  <c r="K20" i="3"/>
  <c r="K31" i="3" s="1"/>
  <c r="K22" i="3"/>
  <c r="L13" i="3"/>
  <c r="L14" i="4"/>
  <c r="K20" i="4"/>
  <c r="C25" i="3"/>
  <c r="C26" i="3" s="1"/>
  <c r="C24" i="3"/>
  <c r="D18" i="2"/>
  <c r="D29" i="3"/>
  <c r="D30" i="3" s="1"/>
  <c r="M13" i="4" l="1"/>
  <c r="L22" i="4"/>
  <c r="F11" i="4"/>
  <c r="E15" i="4"/>
  <c r="E33" i="4" s="1"/>
  <c r="F18" i="4"/>
  <c r="D42" i="4"/>
  <c r="F29" i="4"/>
  <c r="F30" i="4" s="1"/>
  <c r="E29" i="4"/>
  <c r="E30" i="4" s="1"/>
  <c r="E24" i="4"/>
  <c r="E25" i="4"/>
  <c r="E26" i="4" s="1"/>
  <c r="D45" i="4"/>
  <c r="H5" i="4"/>
  <c r="G6" i="4"/>
  <c r="E15" i="3"/>
  <c r="E33" i="3" s="1"/>
  <c r="F11" i="3"/>
  <c r="F18" i="3"/>
  <c r="D45" i="3"/>
  <c r="H5" i="3"/>
  <c r="G6" i="3"/>
  <c r="M14" i="2"/>
  <c r="L20" i="2"/>
  <c r="L31" i="2" s="1"/>
  <c r="K31" i="2"/>
  <c r="M13" i="2"/>
  <c r="L22" i="2"/>
  <c r="F11" i="2"/>
  <c r="E15" i="2"/>
  <c r="E33" i="2" s="1"/>
  <c r="F18" i="2"/>
  <c r="E24" i="2"/>
  <c r="E25" i="2"/>
  <c r="E26" i="2" s="1"/>
  <c r="H5" i="2"/>
  <c r="G6" i="2"/>
  <c r="L20" i="3"/>
  <c r="L31" i="3" s="1"/>
  <c r="M14" i="3"/>
  <c r="L22" i="3"/>
  <c r="M13" i="3"/>
  <c r="M14" i="4"/>
  <c r="L20" i="4"/>
  <c r="L31" i="4" s="1"/>
  <c r="K31" i="4"/>
  <c r="C45" i="3"/>
  <c r="C46" i="3"/>
  <c r="D24" i="2"/>
  <c r="D25" i="2"/>
  <c r="D26" i="2" s="1"/>
  <c r="E29" i="2"/>
  <c r="E30" i="2" s="1"/>
  <c r="D29" i="2"/>
  <c r="D30" i="2" s="1"/>
  <c r="B46" i="4"/>
  <c r="B46" i="2"/>
  <c r="D42" i="3"/>
  <c r="B46" i="3"/>
  <c r="E18" i="3"/>
  <c r="D46" i="4" l="1"/>
  <c r="D46" i="3"/>
  <c r="N13" i="4"/>
  <c r="AL13" i="4"/>
  <c r="M22" i="4"/>
  <c r="AL22" i="4" s="1"/>
  <c r="G11" i="4"/>
  <c r="F15" i="4"/>
  <c r="F33" i="4" s="1"/>
  <c r="G18" i="4"/>
  <c r="F24" i="4"/>
  <c r="F25" i="4"/>
  <c r="F26" i="4" s="1"/>
  <c r="E42" i="4"/>
  <c r="E45" i="4"/>
  <c r="I5" i="4"/>
  <c r="H6" i="4"/>
  <c r="G11" i="3"/>
  <c r="F15" i="3"/>
  <c r="F33" i="3" s="1"/>
  <c r="G18" i="3"/>
  <c r="F24" i="3"/>
  <c r="F25" i="3"/>
  <c r="F26" i="3" s="1"/>
  <c r="I5" i="3"/>
  <c r="H6" i="3"/>
  <c r="N14" i="2"/>
  <c r="AL14" i="2"/>
  <c r="M20" i="2"/>
  <c r="N13" i="2"/>
  <c r="AL13" i="2"/>
  <c r="M22" i="2"/>
  <c r="AL22" i="2" s="1"/>
  <c r="G11" i="2"/>
  <c r="F15" i="2"/>
  <c r="F33" i="2" s="1"/>
  <c r="G18" i="2"/>
  <c r="F24" i="2"/>
  <c r="F25" i="2"/>
  <c r="F26" i="2" s="1"/>
  <c r="E45" i="2"/>
  <c r="I5" i="2"/>
  <c r="H6" i="2"/>
  <c r="N14" i="3"/>
  <c r="AL14" i="3"/>
  <c r="M20" i="3"/>
  <c r="M31" i="3" s="1"/>
  <c r="N13" i="3"/>
  <c r="AL13" i="3"/>
  <c r="M22" i="3"/>
  <c r="AL22" i="3" s="1"/>
  <c r="N14" i="4"/>
  <c r="AL14" i="4"/>
  <c r="M20" i="4"/>
  <c r="D45" i="2"/>
  <c r="D42" i="2"/>
  <c r="B48" i="4"/>
  <c r="C48" i="4" s="1"/>
  <c r="B48" i="2"/>
  <c r="C48" i="2" s="1"/>
  <c r="B48" i="3"/>
  <c r="C48" i="3" s="1"/>
  <c r="D48" i="3" s="1"/>
  <c r="E29" i="3"/>
  <c r="E30" i="3" s="1"/>
  <c r="F29" i="3"/>
  <c r="F30" i="3" s="1"/>
  <c r="E25" i="3"/>
  <c r="E26" i="3" s="1"/>
  <c r="E24" i="3"/>
  <c r="E42" i="2"/>
  <c r="F29" i="2"/>
  <c r="F30" i="2" s="1"/>
  <c r="D48" i="4" l="1"/>
  <c r="E46" i="4"/>
  <c r="E46" i="2"/>
  <c r="N22" i="4"/>
  <c r="O13" i="4"/>
  <c r="H11" i="4"/>
  <c r="G15" i="4"/>
  <c r="H18" i="4"/>
  <c r="F42" i="4"/>
  <c r="G29" i="4"/>
  <c r="G30" i="4" s="1"/>
  <c r="H29" i="4"/>
  <c r="H30" i="4" s="1"/>
  <c r="G24" i="4"/>
  <c r="G25" i="4"/>
  <c r="G26" i="4" s="1"/>
  <c r="F45" i="4"/>
  <c r="J5" i="4"/>
  <c r="I6" i="4"/>
  <c r="H11" i="3"/>
  <c r="G15" i="3"/>
  <c r="H18" i="3"/>
  <c r="G24" i="3"/>
  <c r="G25" i="3"/>
  <c r="G26" i="3" s="1"/>
  <c r="F45" i="3"/>
  <c r="J5" i="3"/>
  <c r="I6" i="3"/>
  <c r="O14" i="2"/>
  <c r="N20" i="2"/>
  <c r="AL20" i="2"/>
  <c r="M31" i="2"/>
  <c r="AL31" i="2" s="1"/>
  <c r="O13" i="2"/>
  <c r="N22" i="2"/>
  <c r="H11" i="2"/>
  <c r="G15" i="2"/>
  <c r="H18" i="2"/>
  <c r="G24" i="2"/>
  <c r="G25" i="2"/>
  <c r="G26" i="2" s="1"/>
  <c r="F45" i="2"/>
  <c r="J5" i="2"/>
  <c r="I6" i="2"/>
  <c r="O14" i="3"/>
  <c r="N20" i="3"/>
  <c r="N22" i="3"/>
  <c r="O13" i="3"/>
  <c r="O14" i="4"/>
  <c r="N20" i="4"/>
  <c r="AL20" i="4"/>
  <c r="M31" i="4"/>
  <c r="AL31" i="4" s="1"/>
  <c r="E42" i="3"/>
  <c r="E45" i="3"/>
  <c r="G29" i="3"/>
  <c r="G30" i="3" s="1"/>
  <c r="F42" i="3"/>
  <c r="F42" i="2"/>
  <c r="AL31" i="3"/>
  <c r="D46" i="2"/>
  <c r="G29" i="2"/>
  <c r="G30" i="2" s="1"/>
  <c r="AL20" i="3"/>
  <c r="E48" i="4" l="1"/>
  <c r="F46" i="4"/>
  <c r="F46" i="2"/>
  <c r="P13" i="4"/>
  <c r="O22" i="4"/>
  <c r="I11" i="4"/>
  <c r="H15" i="4"/>
  <c r="I18" i="4"/>
  <c r="G32" i="4"/>
  <c r="G33" i="4"/>
  <c r="H24" i="4"/>
  <c r="H25" i="4"/>
  <c r="H26" i="4" s="1"/>
  <c r="G42" i="4"/>
  <c r="G45" i="4"/>
  <c r="F48" i="4"/>
  <c r="K5" i="4"/>
  <c r="J6" i="4"/>
  <c r="H15" i="3"/>
  <c r="I11" i="3"/>
  <c r="G32" i="3"/>
  <c r="G33" i="3"/>
  <c r="H24" i="3"/>
  <c r="H25" i="3"/>
  <c r="H26" i="3" s="1"/>
  <c r="G45" i="3"/>
  <c r="K5" i="3"/>
  <c r="J6" i="3"/>
  <c r="P14" i="2"/>
  <c r="O20" i="2"/>
  <c r="O31" i="2" s="1"/>
  <c r="N31" i="2"/>
  <c r="P13" i="2"/>
  <c r="O22" i="2"/>
  <c r="I11" i="2"/>
  <c r="H15" i="2"/>
  <c r="I18" i="2"/>
  <c r="G32" i="2"/>
  <c r="G33" i="2"/>
  <c r="H24" i="2"/>
  <c r="H25" i="2"/>
  <c r="H26" i="2" s="1"/>
  <c r="G45" i="2"/>
  <c r="K5" i="2"/>
  <c r="J6" i="2"/>
  <c r="O20" i="3"/>
  <c r="O31" i="3" s="1"/>
  <c r="P14" i="3"/>
  <c r="N31" i="3"/>
  <c r="P13" i="3"/>
  <c r="O22" i="3"/>
  <c r="P14" i="4"/>
  <c r="O20" i="4"/>
  <c r="O31" i="4" s="1"/>
  <c r="N31" i="4"/>
  <c r="D48" i="2"/>
  <c r="E48" i="2" s="1"/>
  <c r="F48" i="2" s="1"/>
  <c r="G42" i="2"/>
  <c r="F46" i="3"/>
  <c r="E46" i="3"/>
  <c r="H29" i="3"/>
  <c r="H30" i="3" s="1"/>
  <c r="H29" i="2"/>
  <c r="H30" i="2" s="1"/>
  <c r="G46" i="4" l="1"/>
  <c r="G48" i="4" s="1"/>
  <c r="Q13" i="4"/>
  <c r="P22" i="4"/>
  <c r="J11" i="4"/>
  <c r="I15" i="4"/>
  <c r="J18" i="4"/>
  <c r="H32" i="4"/>
  <c r="H33" i="4"/>
  <c r="J29" i="4"/>
  <c r="J30" i="4" s="1"/>
  <c r="I29" i="4"/>
  <c r="I30" i="4" s="1"/>
  <c r="I24" i="4"/>
  <c r="I25" i="4"/>
  <c r="I26" i="4" s="1"/>
  <c r="H45" i="4"/>
  <c r="L5" i="4"/>
  <c r="K6" i="4"/>
  <c r="H32" i="3"/>
  <c r="H33" i="3"/>
  <c r="J11" i="3"/>
  <c r="I15" i="3"/>
  <c r="G42" i="3"/>
  <c r="H45" i="3"/>
  <c r="L5" i="3"/>
  <c r="K6" i="3"/>
  <c r="Q14" i="2"/>
  <c r="P20" i="2"/>
  <c r="Q13" i="2"/>
  <c r="P22" i="2"/>
  <c r="J11" i="2"/>
  <c r="I15" i="2"/>
  <c r="J18" i="2"/>
  <c r="H32" i="2"/>
  <c r="H33" i="2"/>
  <c r="I29" i="2"/>
  <c r="I30" i="2" s="1"/>
  <c r="I25" i="2"/>
  <c r="I26" i="2" s="1"/>
  <c r="I24" i="2"/>
  <c r="H45" i="2"/>
  <c r="L5" i="2"/>
  <c r="K6" i="2"/>
  <c r="Q14" i="3"/>
  <c r="P20" i="3"/>
  <c r="P22" i="3"/>
  <c r="Q13" i="3"/>
  <c r="Q14" i="4"/>
  <c r="P20" i="4"/>
  <c r="E48" i="3"/>
  <c r="F48" i="3" s="1"/>
  <c r="I18" i="3"/>
  <c r="G46" i="2"/>
  <c r="Q22" i="4" l="1"/>
  <c r="R13" i="4"/>
  <c r="K11" i="4"/>
  <c r="J15" i="4"/>
  <c r="K18" i="4"/>
  <c r="I32" i="4"/>
  <c r="I33" i="4"/>
  <c r="J24" i="4"/>
  <c r="J25" i="4"/>
  <c r="J26" i="4" s="1"/>
  <c r="H42" i="4"/>
  <c r="I42" i="4"/>
  <c r="I45" i="4"/>
  <c r="I46" i="4"/>
  <c r="M5" i="4"/>
  <c r="L6" i="4"/>
  <c r="K11" i="3"/>
  <c r="K18" i="3"/>
  <c r="J15" i="3"/>
  <c r="I32" i="3"/>
  <c r="I33" i="3"/>
  <c r="G46" i="3"/>
  <c r="M5" i="3"/>
  <c r="L6" i="3"/>
  <c r="R14" i="2"/>
  <c r="Q20" i="2"/>
  <c r="Q31" i="2" s="1"/>
  <c r="P31" i="2"/>
  <c r="R13" i="2"/>
  <c r="Q22" i="2"/>
  <c r="K11" i="2"/>
  <c r="J15" i="2"/>
  <c r="K18" i="2"/>
  <c r="I32" i="2"/>
  <c r="I33" i="2"/>
  <c r="J29" i="2"/>
  <c r="J30" i="2" s="1"/>
  <c r="J24" i="2"/>
  <c r="J25" i="2"/>
  <c r="J26" i="2" s="1"/>
  <c r="H42" i="2"/>
  <c r="M5" i="2"/>
  <c r="L6" i="2"/>
  <c r="R14" i="3"/>
  <c r="Q20" i="3"/>
  <c r="Q31" i="3" s="1"/>
  <c r="P31" i="3"/>
  <c r="R13" i="3"/>
  <c r="Q22" i="3"/>
  <c r="R14" i="4"/>
  <c r="Q20" i="4"/>
  <c r="Q31" i="4" s="1"/>
  <c r="P31" i="4"/>
  <c r="I25" i="3"/>
  <c r="I26" i="3" s="1"/>
  <c r="I24" i="3"/>
  <c r="I29" i="3"/>
  <c r="I30" i="3" s="1"/>
  <c r="G48" i="2"/>
  <c r="H42" i="3"/>
  <c r="H46" i="3" s="1"/>
  <c r="J18" i="3"/>
  <c r="S13" i="4" l="1"/>
  <c r="R22" i="4"/>
  <c r="L11" i="4"/>
  <c r="K15" i="4"/>
  <c r="L18" i="4"/>
  <c r="J32" i="4"/>
  <c r="J33" i="4"/>
  <c r="K29" i="4"/>
  <c r="K30" i="4" s="1"/>
  <c r="K24" i="4"/>
  <c r="K25" i="4"/>
  <c r="K26" i="4" s="1"/>
  <c r="J45" i="4"/>
  <c r="H46" i="4"/>
  <c r="N5" i="4"/>
  <c r="M6" i="4"/>
  <c r="AL6" i="4" s="1"/>
  <c r="K15" i="3"/>
  <c r="L11" i="3"/>
  <c r="K29" i="3"/>
  <c r="K30" i="3" s="1"/>
  <c r="K24" i="3"/>
  <c r="K25" i="3"/>
  <c r="K26" i="3" s="1"/>
  <c r="J32" i="3"/>
  <c r="J33" i="3"/>
  <c r="G48" i="3"/>
  <c r="H48" i="3" s="1"/>
  <c r="N5" i="3"/>
  <c r="M6" i="3"/>
  <c r="AL6" i="3" s="1"/>
  <c r="S14" i="2"/>
  <c r="R20" i="2"/>
  <c r="S13" i="2"/>
  <c r="R22" i="2"/>
  <c r="L11" i="2"/>
  <c r="K15" i="2"/>
  <c r="L18" i="2"/>
  <c r="J32" i="2"/>
  <c r="J42" i="2" s="1"/>
  <c r="J33" i="2"/>
  <c r="K29" i="2"/>
  <c r="K30" i="2" s="1"/>
  <c r="K24" i="2"/>
  <c r="K25" i="2"/>
  <c r="K26" i="2" s="1"/>
  <c r="H46" i="2"/>
  <c r="AL5" i="2"/>
  <c r="N5" i="2"/>
  <c r="M6" i="2"/>
  <c r="AL6" i="2" s="1"/>
  <c r="R20" i="3"/>
  <c r="S14" i="3"/>
  <c r="S13" i="3"/>
  <c r="R22" i="3"/>
  <c r="S14" i="4"/>
  <c r="R20" i="4"/>
  <c r="R31" i="4" s="1"/>
  <c r="I45" i="3"/>
  <c r="I42" i="3"/>
  <c r="J25" i="3"/>
  <c r="J26" i="3" s="1"/>
  <c r="J24" i="3"/>
  <c r="J29" i="3"/>
  <c r="J30" i="3" s="1"/>
  <c r="I42" i="2"/>
  <c r="I46" i="2" s="1"/>
  <c r="I45" i="2"/>
  <c r="AL5" i="4"/>
  <c r="AL5" i="3"/>
  <c r="T13" i="4" l="1"/>
  <c r="S22" i="4"/>
  <c r="M10" i="4"/>
  <c r="L15" i="4"/>
  <c r="K32" i="4"/>
  <c r="K33" i="4"/>
  <c r="L29" i="4"/>
  <c r="L30" i="4" s="1"/>
  <c r="L24" i="4"/>
  <c r="L25" i="4"/>
  <c r="L26" i="4" s="1"/>
  <c r="J42" i="4"/>
  <c r="K42" i="4"/>
  <c r="H48" i="4"/>
  <c r="I48" i="4" s="1"/>
  <c r="O5" i="4"/>
  <c r="N6" i="4"/>
  <c r="K32" i="3"/>
  <c r="K33" i="3"/>
  <c r="L15" i="3"/>
  <c r="M11" i="3"/>
  <c r="K45" i="3"/>
  <c r="O5" i="3"/>
  <c r="N6" i="3"/>
  <c r="T14" i="2"/>
  <c r="S20" i="2"/>
  <c r="S31" i="2" s="1"/>
  <c r="R31" i="2"/>
  <c r="T13" i="2"/>
  <c r="S22" i="2"/>
  <c r="M11" i="2"/>
  <c r="L15" i="2"/>
  <c r="M18" i="2"/>
  <c r="K32" i="2"/>
  <c r="K33" i="2"/>
  <c r="L29" i="2"/>
  <c r="L30" i="2" s="1"/>
  <c r="L24" i="2"/>
  <c r="L25" i="2"/>
  <c r="L26" i="2" s="1"/>
  <c r="K42" i="2"/>
  <c r="K45" i="2"/>
  <c r="H48" i="2"/>
  <c r="I48" i="2" s="1"/>
  <c r="O5" i="2"/>
  <c r="N6" i="2"/>
  <c r="R31" i="3"/>
  <c r="T14" i="3"/>
  <c r="S20" i="3"/>
  <c r="S31" i="3" s="1"/>
  <c r="S22" i="3"/>
  <c r="T13" i="3"/>
  <c r="T14" i="4"/>
  <c r="S20" i="4"/>
  <c r="S31" i="4" s="1"/>
  <c r="J45" i="3"/>
  <c r="J45" i="2"/>
  <c r="J46" i="2"/>
  <c r="I46" i="3"/>
  <c r="L18" i="3"/>
  <c r="J46" i="3" l="1"/>
  <c r="K46" i="2"/>
  <c r="U13" i="4"/>
  <c r="T22" i="4"/>
  <c r="AL10" i="4"/>
  <c r="M12" i="4"/>
  <c r="L32" i="4"/>
  <c r="L33" i="4"/>
  <c r="J46" i="4"/>
  <c r="P5" i="4"/>
  <c r="O6" i="4"/>
  <c r="K42" i="3"/>
  <c r="L32" i="3"/>
  <c r="L33" i="3"/>
  <c r="AL11" i="3"/>
  <c r="N10" i="3"/>
  <c r="N11" i="3"/>
  <c r="M15" i="3"/>
  <c r="N18" i="3"/>
  <c r="P5" i="3"/>
  <c r="O6" i="3"/>
  <c r="U14" i="2"/>
  <c r="T20" i="2"/>
  <c r="U13" i="2"/>
  <c r="T22" i="2"/>
  <c r="AL11" i="2"/>
  <c r="M15" i="2"/>
  <c r="N10" i="2"/>
  <c r="L32" i="2"/>
  <c r="L33" i="2"/>
  <c r="AL18" i="2"/>
  <c r="M29" i="2"/>
  <c r="M30" i="2" s="1"/>
  <c r="M24" i="2"/>
  <c r="M25" i="2"/>
  <c r="L45" i="2"/>
  <c r="P5" i="2"/>
  <c r="O6" i="2"/>
  <c r="U14" i="3"/>
  <c r="T20" i="3"/>
  <c r="T31" i="3" s="1"/>
  <c r="T22" i="3"/>
  <c r="U13" i="3"/>
  <c r="U14" i="4"/>
  <c r="T20" i="4"/>
  <c r="T31" i="4" s="1"/>
  <c r="I48" i="3"/>
  <c r="AL18" i="3"/>
  <c r="L25" i="3"/>
  <c r="L26" i="3" s="1"/>
  <c r="L24" i="3"/>
  <c r="L29" i="3"/>
  <c r="L30" i="3" s="1"/>
  <c r="K46" i="4"/>
  <c r="K45" i="4"/>
  <c r="M18" i="3"/>
  <c r="J48" i="2"/>
  <c r="K48" i="2" s="1"/>
  <c r="M11" i="4"/>
  <c r="J48" i="3" l="1"/>
  <c r="V13" i="4"/>
  <c r="U22" i="4"/>
  <c r="AL12" i="4"/>
  <c r="M19" i="4"/>
  <c r="AL19" i="4" s="1"/>
  <c r="L42" i="4"/>
  <c r="J48" i="4"/>
  <c r="K48" i="4" s="1"/>
  <c r="Q5" i="4"/>
  <c r="P6" i="4"/>
  <c r="K46" i="3"/>
  <c r="N12" i="3"/>
  <c r="O10" i="3"/>
  <c r="AL15" i="3"/>
  <c r="C6" i="5" s="1"/>
  <c r="M32" i="3"/>
  <c r="M33" i="3"/>
  <c r="AL33" i="3" s="1"/>
  <c r="Q5" i="3"/>
  <c r="P6" i="3"/>
  <c r="V14" i="2"/>
  <c r="U20" i="2"/>
  <c r="U31" i="2" s="1"/>
  <c r="T31" i="2"/>
  <c r="V13" i="2"/>
  <c r="U22" i="2"/>
  <c r="AL15" i="2"/>
  <c r="B6" i="5" s="1"/>
  <c r="M32" i="2"/>
  <c r="M33" i="2"/>
  <c r="AL33" i="2" s="1"/>
  <c r="N12" i="2"/>
  <c r="AL32" i="2"/>
  <c r="L42" i="2"/>
  <c r="AL30" i="2"/>
  <c r="M42" i="2"/>
  <c r="AL24" i="2"/>
  <c r="B9" i="5"/>
  <c r="AL45" i="2"/>
  <c r="B17" i="5"/>
  <c r="M45" i="2"/>
  <c r="M46" i="2"/>
  <c r="M26" i="2"/>
  <c r="AL26" i="2" s="1"/>
  <c r="B14" i="5" s="1"/>
  <c r="AL25" i="2"/>
  <c r="Q5" i="2"/>
  <c r="P6" i="2"/>
  <c r="V14" i="3"/>
  <c r="U20" i="3"/>
  <c r="U31" i="3" s="1"/>
  <c r="V13" i="3"/>
  <c r="U22" i="3"/>
  <c r="V14" i="4"/>
  <c r="U20" i="4"/>
  <c r="U31" i="4" s="1"/>
  <c r="L45" i="3"/>
  <c r="AL30" i="3"/>
  <c r="L42" i="3"/>
  <c r="M25" i="3"/>
  <c r="M24" i="3"/>
  <c r="M29" i="3"/>
  <c r="M30" i="3" s="1"/>
  <c r="M15" i="4"/>
  <c r="N10" i="4"/>
  <c r="AL11" i="4"/>
  <c r="N11" i="4"/>
  <c r="M18" i="4"/>
  <c r="N11" i="2"/>
  <c r="L45" i="4"/>
  <c r="V22" i="4" l="1"/>
  <c r="W13" i="4"/>
  <c r="L46" i="4"/>
  <c r="R5" i="4"/>
  <c r="Q6" i="4"/>
  <c r="K48" i="3"/>
  <c r="O12" i="3"/>
  <c r="N19" i="3"/>
  <c r="R5" i="3"/>
  <c r="Q6" i="3"/>
  <c r="W14" i="2"/>
  <c r="V20" i="2"/>
  <c r="W13" i="2"/>
  <c r="V22" i="2"/>
  <c r="N19" i="2"/>
  <c r="L46" i="2"/>
  <c r="AL42" i="2"/>
  <c r="R5" i="2"/>
  <c r="Q6" i="2"/>
  <c r="W14" i="3"/>
  <c r="V20" i="3"/>
  <c r="V31" i="3" s="1"/>
  <c r="V22" i="3"/>
  <c r="W13" i="3"/>
  <c r="W14" i="4"/>
  <c r="V20" i="4"/>
  <c r="V31" i="4" s="1"/>
  <c r="AL25" i="3"/>
  <c r="M26" i="3"/>
  <c r="AL26" i="3" s="1"/>
  <c r="C14" i="5" s="1"/>
  <c r="C9" i="5"/>
  <c r="AL45" i="3"/>
  <c r="M45" i="3"/>
  <c r="AL15" i="4"/>
  <c r="D6" i="5" s="1"/>
  <c r="M32" i="4"/>
  <c r="AL32" i="4" s="1"/>
  <c r="M33" i="4"/>
  <c r="AL33" i="4" s="1"/>
  <c r="O10" i="4"/>
  <c r="N15" i="4"/>
  <c r="M25" i="4"/>
  <c r="M24" i="4"/>
  <c r="M29" i="4"/>
  <c r="M30" i="4" s="1"/>
  <c r="AL18" i="4"/>
  <c r="O10" i="2"/>
  <c r="N15" i="2"/>
  <c r="O11" i="2"/>
  <c r="N18" i="2"/>
  <c r="M42" i="3"/>
  <c r="N18" i="4"/>
  <c r="AL32" i="3"/>
  <c r="O11" i="3"/>
  <c r="N15" i="3"/>
  <c r="N12" i="4"/>
  <c r="AL24" i="3"/>
  <c r="L46" i="3"/>
  <c r="M46" i="3" l="1"/>
  <c r="AL42" i="3"/>
  <c r="C20" i="5"/>
  <c r="X13" i="4"/>
  <c r="W22" i="4"/>
  <c r="L48" i="4"/>
  <c r="S5" i="4"/>
  <c r="R6" i="4"/>
  <c r="N24" i="3"/>
  <c r="N29" i="3"/>
  <c r="N30" i="3" s="1"/>
  <c r="N25" i="3"/>
  <c r="N26" i="3" s="1"/>
  <c r="C12" i="5" s="1"/>
  <c r="S5" i="3"/>
  <c r="R6" i="3"/>
  <c r="X14" i="2"/>
  <c r="W20" i="2"/>
  <c r="W31" i="2" s="1"/>
  <c r="V31" i="2"/>
  <c r="X13" i="2"/>
  <c r="W22" i="2"/>
  <c r="B20" i="5"/>
  <c r="AL46" i="2"/>
  <c r="L48" i="2"/>
  <c r="M48" i="2" s="1"/>
  <c r="S5" i="2"/>
  <c r="R6" i="2"/>
  <c r="W20" i="3"/>
  <c r="W31" i="3" s="1"/>
  <c r="X14" i="3"/>
  <c r="W22" i="3"/>
  <c r="X13" i="3"/>
  <c r="X14" i="4"/>
  <c r="W20" i="4"/>
  <c r="W31" i="4" s="1"/>
  <c r="N32" i="4"/>
  <c r="D4" i="5"/>
  <c r="N33" i="4"/>
  <c r="AL25" i="4"/>
  <c r="M26" i="4"/>
  <c r="AL26" i="4" s="1"/>
  <c r="D14" i="5" s="1"/>
  <c r="AL24" i="4"/>
  <c r="D9" i="5"/>
  <c r="AL45" i="4"/>
  <c r="M45" i="4"/>
  <c r="AL30" i="4"/>
  <c r="M42" i="4"/>
  <c r="AL42" i="4" s="1"/>
  <c r="N32" i="2"/>
  <c r="N33" i="2"/>
  <c r="B4" i="5"/>
  <c r="P10" i="2"/>
  <c r="N25" i="2"/>
  <c r="N26" i="2" s="1"/>
  <c r="B12" i="5" s="1"/>
  <c r="N24" i="2"/>
  <c r="N29" i="2"/>
  <c r="N30" i="2" s="1"/>
  <c r="P10" i="3"/>
  <c r="O15" i="3"/>
  <c r="O18" i="3"/>
  <c r="C4" i="5"/>
  <c r="N33" i="3"/>
  <c r="N32" i="3"/>
  <c r="N19" i="4"/>
  <c r="O12" i="4"/>
  <c r="O11" i="4"/>
  <c r="O19" i="3"/>
  <c r="AL46" i="3"/>
  <c r="L48" i="3"/>
  <c r="M48" i="3" s="1"/>
  <c r="O12" i="2"/>
  <c r="O18" i="2"/>
  <c r="Y13" i="4" l="1"/>
  <c r="X22" i="4"/>
  <c r="T5" i="4"/>
  <c r="S6" i="4"/>
  <c r="N45" i="3"/>
  <c r="N42" i="3"/>
  <c r="T5" i="3"/>
  <c r="S6" i="3"/>
  <c r="Y14" i="2"/>
  <c r="X20" i="2"/>
  <c r="Y13" i="2"/>
  <c r="X22" i="2"/>
  <c r="AL48" i="2"/>
  <c r="B27" i="5" s="1"/>
  <c r="T5" i="2"/>
  <c r="S6" i="2"/>
  <c r="X20" i="3"/>
  <c r="Y14" i="3"/>
  <c r="Y13" i="3"/>
  <c r="X22" i="3"/>
  <c r="Y14" i="4"/>
  <c r="X20" i="4"/>
  <c r="N45" i="2"/>
  <c r="N42" i="2"/>
  <c r="O32" i="3"/>
  <c r="O33" i="3"/>
  <c r="O25" i="3"/>
  <c r="O26" i="3" s="1"/>
  <c r="O24" i="3"/>
  <c r="O29" i="3"/>
  <c r="O30" i="3" s="1"/>
  <c r="O42" i="3" s="1"/>
  <c r="O15" i="4"/>
  <c r="P10" i="4"/>
  <c r="P11" i="4"/>
  <c r="O18" i="4"/>
  <c r="AL48" i="3"/>
  <c r="C27" i="5" s="1"/>
  <c r="P12" i="2"/>
  <c r="O19" i="2"/>
  <c r="O24" i="2"/>
  <c r="N25" i="4"/>
  <c r="N26" i="4" s="1"/>
  <c r="D12" i="5" s="1"/>
  <c r="N24" i="4"/>
  <c r="N29" i="4"/>
  <c r="N30" i="4" s="1"/>
  <c r="P11" i="3"/>
  <c r="O19" i="4"/>
  <c r="P11" i="2"/>
  <c r="M46" i="4"/>
  <c r="O15" i="2"/>
  <c r="P12" i="3"/>
  <c r="Y22" i="4" l="1"/>
  <c r="AM22" i="4" s="1"/>
  <c r="Z13" i="4"/>
  <c r="AM13" i="4"/>
  <c r="U5" i="4"/>
  <c r="T6" i="4"/>
  <c r="U5" i="3"/>
  <c r="T6" i="3"/>
  <c r="Z14" i="2"/>
  <c r="AM14" i="2"/>
  <c r="Y20" i="2"/>
  <c r="Y31" i="2" s="1"/>
  <c r="AM20" i="2"/>
  <c r="X31" i="2"/>
  <c r="AM31" i="2" s="1"/>
  <c r="Z13" i="2"/>
  <c r="AM13" i="2"/>
  <c r="Y22" i="2"/>
  <c r="AM22" i="2" s="1"/>
  <c r="U5" i="2"/>
  <c r="T6" i="2"/>
  <c r="X31" i="3"/>
  <c r="Z14" i="3"/>
  <c r="AM14" i="3"/>
  <c r="Y20" i="3"/>
  <c r="Y31" i="3" s="1"/>
  <c r="Y22" i="3"/>
  <c r="AM22" i="3" s="1"/>
  <c r="Z13" i="3"/>
  <c r="AM13" i="3"/>
  <c r="Z14" i="4"/>
  <c r="AM14" i="4"/>
  <c r="Y20" i="4"/>
  <c r="Y31" i="4" s="1"/>
  <c r="AM20" i="4"/>
  <c r="X31" i="4"/>
  <c r="AM31" i="4" s="1"/>
  <c r="O45" i="3"/>
  <c r="O46" i="3"/>
  <c r="O32" i="4"/>
  <c r="O33" i="4"/>
  <c r="Q10" i="4"/>
  <c r="O25" i="4"/>
  <c r="O26" i="4" s="1"/>
  <c r="O24" i="4"/>
  <c r="O29" i="4"/>
  <c r="O30" i="4" s="1"/>
  <c r="O42" i="4" s="1"/>
  <c r="N45" i="4"/>
  <c r="N42" i="4"/>
  <c r="P15" i="3"/>
  <c r="Q10" i="3"/>
  <c r="P18" i="3"/>
  <c r="Q10" i="2"/>
  <c r="Q18" i="2"/>
  <c r="P15" i="2"/>
  <c r="Q11" i="2"/>
  <c r="P18" i="2"/>
  <c r="M48" i="4"/>
  <c r="AL46" i="4"/>
  <c r="D20" i="5"/>
  <c r="O33" i="2"/>
  <c r="O32" i="2"/>
  <c r="P19" i="3"/>
  <c r="N46" i="2"/>
  <c r="P18" i="4"/>
  <c r="P19" i="2"/>
  <c r="O25" i="2"/>
  <c r="O26" i="2" s="1"/>
  <c r="O29" i="2"/>
  <c r="O30" i="2" s="1"/>
  <c r="P12" i="4"/>
  <c r="N46" i="3"/>
  <c r="AA13" i="4" l="1"/>
  <c r="Z22" i="4"/>
  <c r="V5" i="4"/>
  <c r="U6" i="4"/>
  <c r="V5" i="3"/>
  <c r="U6" i="3"/>
  <c r="AA14" i="2"/>
  <c r="Z20" i="2"/>
  <c r="AA13" i="2"/>
  <c r="Z22" i="2"/>
  <c r="V5" i="2"/>
  <c r="U6" i="2"/>
  <c r="AA14" i="3"/>
  <c r="Z20" i="3"/>
  <c r="Z22" i="3"/>
  <c r="AA13" i="3"/>
  <c r="AA14" i="4"/>
  <c r="Z20" i="4"/>
  <c r="O45" i="4"/>
  <c r="O46" i="4"/>
  <c r="P32" i="3"/>
  <c r="P33" i="3"/>
  <c r="P25" i="3"/>
  <c r="P26" i="3" s="1"/>
  <c r="P24" i="3"/>
  <c r="P29" i="3"/>
  <c r="P30" i="3" s="1"/>
  <c r="P32" i="2"/>
  <c r="P33" i="2"/>
  <c r="Q15" i="2"/>
  <c r="R10" i="2"/>
  <c r="P25" i="2"/>
  <c r="P26" i="2" s="1"/>
  <c r="P24" i="2"/>
  <c r="P29" i="2"/>
  <c r="P30" i="2" s="1"/>
  <c r="P42" i="2" s="1"/>
  <c r="AL48" i="4"/>
  <c r="D27" i="5" s="1"/>
  <c r="N48" i="4"/>
  <c r="N48" i="2"/>
  <c r="O42" i="2"/>
  <c r="Q12" i="4"/>
  <c r="P19" i="4"/>
  <c r="N48" i="3"/>
  <c r="Q11" i="4"/>
  <c r="P15" i="4"/>
  <c r="Q12" i="2"/>
  <c r="Q11" i="3"/>
  <c r="Q12" i="3"/>
  <c r="AM20" i="3"/>
  <c r="N46" i="4"/>
  <c r="AM31" i="3"/>
  <c r="O45" i="2"/>
  <c r="AA22" i="4" l="1"/>
  <c r="AB13" i="4"/>
  <c r="W5" i="4"/>
  <c r="V6" i="4"/>
  <c r="W5" i="3"/>
  <c r="V6" i="3"/>
  <c r="AB14" i="2"/>
  <c r="AA20" i="2"/>
  <c r="AA31" i="2" s="1"/>
  <c r="Z31" i="2"/>
  <c r="AB13" i="2"/>
  <c r="AA22" i="2"/>
  <c r="W5" i="2"/>
  <c r="V6" i="2"/>
  <c r="AA20" i="3"/>
  <c r="AA31" i="3" s="1"/>
  <c r="AB14" i="3"/>
  <c r="Z31" i="3"/>
  <c r="AB13" i="3"/>
  <c r="AA22" i="3"/>
  <c r="AB14" i="4"/>
  <c r="AA20" i="4"/>
  <c r="AA31" i="4" s="1"/>
  <c r="Z31" i="4"/>
  <c r="P45" i="3"/>
  <c r="P42" i="3"/>
  <c r="Q32" i="2"/>
  <c r="Q33" i="2"/>
  <c r="P45" i="2"/>
  <c r="P46" i="2"/>
  <c r="O48" i="4"/>
  <c r="D25" i="5"/>
  <c r="B25" i="5"/>
  <c r="O46" i="2"/>
  <c r="R12" i="4"/>
  <c r="R19" i="4"/>
  <c r="C25" i="5"/>
  <c r="O48" i="3"/>
  <c r="Q15" i="4"/>
  <c r="R10" i="4"/>
  <c r="R11" i="4"/>
  <c r="Q18" i="4"/>
  <c r="P33" i="4"/>
  <c r="P32" i="4"/>
  <c r="R12" i="2"/>
  <c r="Q19" i="2"/>
  <c r="R10" i="3"/>
  <c r="R11" i="3"/>
  <c r="Q15" i="3"/>
  <c r="Q18" i="3"/>
  <c r="Q19" i="3"/>
  <c r="R12" i="3"/>
  <c r="R11" i="2"/>
  <c r="P25" i="4"/>
  <c r="P26" i="4" s="1"/>
  <c r="P24" i="4"/>
  <c r="P29" i="4"/>
  <c r="P30" i="4" s="1"/>
  <c r="Q19" i="4"/>
  <c r="AC13" i="4" l="1"/>
  <c r="AB22" i="4"/>
  <c r="X5" i="4"/>
  <c r="W6" i="4"/>
  <c r="X5" i="3"/>
  <c r="W6" i="3"/>
  <c r="AC14" i="2"/>
  <c r="AB20" i="2"/>
  <c r="AC13" i="2"/>
  <c r="AB22" i="2"/>
  <c r="X5" i="2"/>
  <c r="W6" i="2"/>
  <c r="AC14" i="3"/>
  <c r="AB20" i="3"/>
  <c r="AC13" i="3"/>
  <c r="AB22" i="3"/>
  <c r="AC14" i="4"/>
  <c r="AB20" i="4"/>
  <c r="Q32" i="4"/>
  <c r="Q33" i="4"/>
  <c r="S10" i="4"/>
  <c r="R15" i="4"/>
  <c r="Q25" i="4"/>
  <c r="Q26" i="4" s="1"/>
  <c r="Q24" i="4"/>
  <c r="Q29" i="4"/>
  <c r="Q30" i="4" s="1"/>
  <c r="Q42" i="4" s="1"/>
  <c r="S12" i="2"/>
  <c r="Q24" i="2"/>
  <c r="Q25" i="2"/>
  <c r="Q26" i="2" s="1"/>
  <c r="Q29" i="2"/>
  <c r="Q30" i="2" s="1"/>
  <c r="R15" i="3"/>
  <c r="S10" i="3"/>
  <c r="Q32" i="3"/>
  <c r="Q33" i="3"/>
  <c r="Q25" i="3"/>
  <c r="Q26" i="3" s="1"/>
  <c r="Q24" i="3"/>
  <c r="Q29" i="3"/>
  <c r="Q30" i="3" s="1"/>
  <c r="S10" i="2"/>
  <c r="R15" i="2"/>
  <c r="S11" i="2"/>
  <c r="R18" i="2"/>
  <c r="P45" i="4"/>
  <c r="P42" i="4"/>
  <c r="P46" i="3"/>
  <c r="R18" i="4"/>
  <c r="R19" i="2"/>
  <c r="R18" i="3"/>
  <c r="R19" i="3"/>
  <c r="O48" i="2"/>
  <c r="P48" i="2" s="1"/>
  <c r="AC22" i="4" l="1"/>
  <c r="AD13" i="4"/>
  <c r="Y5" i="4"/>
  <c r="X6" i="4"/>
  <c r="Y5" i="3"/>
  <c r="X6" i="3"/>
  <c r="AD14" i="2"/>
  <c r="AC20" i="2"/>
  <c r="AC31" i="2" s="1"/>
  <c r="AB31" i="2"/>
  <c r="AD13" i="2"/>
  <c r="AC22" i="2"/>
  <c r="Y5" i="2"/>
  <c r="X6" i="2"/>
  <c r="AC20" i="3"/>
  <c r="AC31" i="3" s="1"/>
  <c r="AD14" i="3"/>
  <c r="AB31" i="3"/>
  <c r="AC22" i="3"/>
  <c r="AD13" i="3"/>
  <c r="AD14" i="4"/>
  <c r="AC20" i="4"/>
  <c r="AC31" i="4" s="1"/>
  <c r="AB31" i="4"/>
  <c r="R33" i="4"/>
  <c r="R32" i="4"/>
  <c r="Q46" i="4"/>
  <c r="Q45" i="4"/>
  <c r="Q45" i="2"/>
  <c r="Q42" i="2"/>
  <c r="R32" i="3"/>
  <c r="R33" i="3"/>
  <c r="Q45" i="3"/>
  <c r="Q42" i="3"/>
  <c r="R32" i="2"/>
  <c r="R33" i="2"/>
  <c r="S15" i="2"/>
  <c r="T10" i="2"/>
  <c r="R25" i="2"/>
  <c r="R26" i="2" s="1"/>
  <c r="R24" i="2"/>
  <c r="R29" i="2"/>
  <c r="R30" i="2" s="1"/>
  <c r="R42" i="2" s="1"/>
  <c r="P48" i="3"/>
  <c r="R25" i="4"/>
  <c r="R26" i="4" s="1"/>
  <c r="R24" i="4"/>
  <c r="R29" i="4"/>
  <c r="R30" i="4" s="1"/>
  <c r="R42" i="4" s="1"/>
  <c r="R25" i="3"/>
  <c r="R26" i="3" s="1"/>
  <c r="R24" i="3"/>
  <c r="R29" i="3"/>
  <c r="R30" i="3" s="1"/>
  <c r="S12" i="3"/>
  <c r="S18" i="2"/>
  <c r="P46" i="4"/>
  <c r="AM5" i="3"/>
  <c r="AM5" i="2"/>
  <c r="S12" i="4"/>
  <c r="S11" i="4"/>
  <c r="S19" i="2"/>
  <c r="S11" i="3"/>
  <c r="AE13" i="4" l="1"/>
  <c r="AD22" i="4"/>
  <c r="AM5" i="4"/>
  <c r="Z5" i="4"/>
  <c r="Y6" i="4"/>
  <c r="AM6" i="4" s="1"/>
  <c r="Z5" i="3"/>
  <c r="Y6" i="3"/>
  <c r="AM6" i="3" s="1"/>
  <c r="AE14" i="2"/>
  <c r="AD20" i="2"/>
  <c r="AE13" i="2"/>
  <c r="AD22" i="2"/>
  <c r="Z5" i="2"/>
  <c r="Y6" i="2"/>
  <c r="AM6" i="2" s="1"/>
  <c r="AE14" i="3"/>
  <c r="AD20" i="3"/>
  <c r="AE13" i="3"/>
  <c r="AD22" i="3"/>
  <c r="AE14" i="4"/>
  <c r="AD20" i="4"/>
  <c r="S32" i="2"/>
  <c r="S33" i="2"/>
  <c r="R45" i="2"/>
  <c r="R46" i="2"/>
  <c r="R45" i="4"/>
  <c r="R46" i="4"/>
  <c r="R45" i="3"/>
  <c r="R46" i="3"/>
  <c r="S19" i="3"/>
  <c r="S25" i="2"/>
  <c r="S26" i="2" s="1"/>
  <c r="S24" i="2"/>
  <c r="S29" i="2"/>
  <c r="S30" i="2" s="1"/>
  <c r="S42" i="2" s="1"/>
  <c r="P48" i="4"/>
  <c r="Q48" i="4" s="1"/>
  <c r="R48" i="4" s="1"/>
  <c r="S19" i="4"/>
  <c r="S15" i="4"/>
  <c r="T10" i="4"/>
  <c r="T11" i="4"/>
  <c r="S18" i="4"/>
  <c r="S18" i="3"/>
  <c r="S15" i="3"/>
  <c r="T10" i="3"/>
  <c r="T12" i="2"/>
  <c r="Q46" i="2"/>
  <c r="Q46" i="3"/>
  <c r="T11" i="2"/>
  <c r="R42" i="3"/>
  <c r="AE22" i="4" l="1"/>
  <c r="AF13" i="4"/>
  <c r="AA5" i="4"/>
  <c r="Z6" i="4"/>
  <c r="AA5" i="3"/>
  <c r="Z6" i="3"/>
  <c r="AF14" i="2"/>
  <c r="AE20" i="2"/>
  <c r="AE31" i="2" s="1"/>
  <c r="AD31" i="2"/>
  <c r="AF13" i="2"/>
  <c r="AE22" i="2"/>
  <c r="AA5" i="2"/>
  <c r="Z6" i="2"/>
  <c r="AE20" i="3"/>
  <c r="AE31" i="3" s="1"/>
  <c r="AF14" i="3"/>
  <c r="AD31" i="3"/>
  <c r="AE22" i="3"/>
  <c r="AF13" i="3"/>
  <c r="AF14" i="4"/>
  <c r="AE20" i="4"/>
  <c r="AE31" i="4" s="1"/>
  <c r="AD31" i="4"/>
  <c r="S45" i="2"/>
  <c r="S46" i="2"/>
  <c r="S33" i="4"/>
  <c r="S32" i="4"/>
  <c r="U10" i="4"/>
  <c r="S25" i="4"/>
  <c r="S26" i="4" s="1"/>
  <c r="S24" i="4"/>
  <c r="S29" i="4"/>
  <c r="S30" i="4" s="1"/>
  <c r="S25" i="3"/>
  <c r="S26" i="3" s="1"/>
  <c r="S24" i="3"/>
  <c r="S29" i="3"/>
  <c r="S30" i="3" s="1"/>
  <c r="S32" i="3"/>
  <c r="S33" i="3"/>
  <c r="U12" i="2"/>
  <c r="T19" i="2"/>
  <c r="Q48" i="2"/>
  <c r="R48" i="2" s="1"/>
  <c r="S48" i="2" s="1"/>
  <c r="Q48" i="3"/>
  <c r="R48" i="3" s="1"/>
  <c r="U10" i="2"/>
  <c r="T15" i="2"/>
  <c r="U11" i="2"/>
  <c r="T18" i="2"/>
  <c r="T12" i="3"/>
  <c r="T18" i="4"/>
  <c r="T12" i="4"/>
  <c r="T11" i="3"/>
  <c r="AG13" i="4" l="1"/>
  <c r="AF22" i="4"/>
  <c r="AB5" i="4"/>
  <c r="AA6" i="4"/>
  <c r="AB5" i="3"/>
  <c r="AA6" i="3"/>
  <c r="AG14" i="2"/>
  <c r="AF20" i="2"/>
  <c r="AG13" i="2"/>
  <c r="AF22" i="2"/>
  <c r="AB5" i="2"/>
  <c r="AA6" i="2"/>
  <c r="AF20" i="3"/>
  <c r="AG14" i="3"/>
  <c r="AG13" i="3"/>
  <c r="AF22" i="3"/>
  <c r="AG14" i="4"/>
  <c r="AF20" i="4"/>
  <c r="S45" i="4"/>
  <c r="S42" i="4"/>
  <c r="S45" i="3"/>
  <c r="S42" i="3"/>
  <c r="T32" i="2"/>
  <c r="T33" i="2"/>
  <c r="U15" i="2"/>
  <c r="V10" i="2"/>
  <c r="T25" i="2"/>
  <c r="T26" i="2" s="1"/>
  <c r="T24" i="2"/>
  <c r="T29" i="2"/>
  <c r="T30" i="2" s="1"/>
  <c r="T19" i="3"/>
  <c r="T19" i="4"/>
  <c r="U12" i="4"/>
  <c r="U19" i="4"/>
  <c r="T18" i="3"/>
  <c r="U10" i="3"/>
  <c r="T15" i="3"/>
  <c r="U11" i="4"/>
  <c r="T15" i="4"/>
  <c r="U19" i="2"/>
  <c r="U18" i="2"/>
  <c r="AH13" i="4" l="1"/>
  <c r="AG22" i="4"/>
  <c r="AC5" i="4"/>
  <c r="AB6" i="4"/>
  <c r="AC5" i="3"/>
  <c r="AB6" i="3"/>
  <c r="AH14" i="2"/>
  <c r="AG20" i="2"/>
  <c r="AG31" i="2" s="1"/>
  <c r="AF31" i="2"/>
  <c r="AH13" i="2"/>
  <c r="AG22" i="2"/>
  <c r="AC5" i="2"/>
  <c r="AB6" i="2"/>
  <c r="AF31" i="3"/>
  <c r="AH14" i="3"/>
  <c r="AG20" i="3"/>
  <c r="AG31" i="3" s="1"/>
  <c r="AG22" i="3"/>
  <c r="AH13" i="3"/>
  <c r="AH14" i="4"/>
  <c r="AG20" i="4"/>
  <c r="AG31" i="4" s="1"/>
  <c r="AF31" i="4"/>
  <c r="U32" i="2"/>
  <c r="U33" i="2"/>
  <c r="T45" i="2"/>
  <c r="T42" i="2"/>
  <c r="V12" i="4"/>
  <c r="V19" i="4"/>
  <c r="T25" i="3"/>
  <c r="T26" i="3" s="1"/>
  <c r="T24" i="3"/>
  <c r="T29" i="3"/>
  <c r="T30" i="3" s="1"/>
  <c r="T32" i="3"/>
  <c r="T33" i="3"/>
  <c r="U15" i="4"/>
  <c r="V10" i="4"/>
  <c r="V11" i="4"/>
  <c r="U18" i="4"/>
  <c r="T32" i="4"/>
  <c r="T33" i="4"/>
  <c r="U25" i="2"/>
  <c r="U26" i="2" s="1"/>
  <c r="U24" i="2"/>
  <c r="U29" i="2"/>
  <c r="U30" i="2" s="1"/>
  <c r="U42" i="2" s="1"/>
  <c r="S46" i="3"/>
  <c r="V12" i="2"/>
  <c r="V11" i="2"/>
  <c r="U12" i="3"/>
  <c r="T24" i="4"/>
  <c r="T25" i="4"/>
  <c r="T26" i="4" s="1"/>
  <c r="T29" i="4"/>
  <c r="T30" i="4" s="1"/>
  <c r="U11" i="3"/>
  <c r="S46" i="4"/>
  <c r="AH22" i="4" l="1"/>
  <c r="AI13" i="4"/>
  <c r="AD5" i="4"/>
  <c r="AC6" i="4"/>
  <c r="AD5" i="3"/>
  <c r="AC6" i="3"/>
  <c r="AI14" i="2"/>
  <c r="AH20" i="2"/>
  <c r="AI13" i="2"/>
  <c r="AH22" i="2"/>
  <c r="AD5" i="2"/>
  <c r="AC6" i="2"/>
  <c r="AH20" i="3"/>
  <c r="AH31" i="3" s="1"/>
  <c r="AI14" i="3"/>
  <c r="AI13" i="3"/>
  <c r="AH22" i="3"/>
  <c r="AI14" i="4"/>
  <c r="AH20" i="4"/>
  <c r="W12" i="4"/>
  <c r="T45" i="3"/>
  <c r="T42" i="3"/>
  <c r="U33" i="4"/>
  <c r="U32" i="4"/>
  <c r="W10" i="4"/>
  <c r="V15" i="4"/>
  <c r="U25" i="4"/>
  <c r="U26" i="4" s="1"/>
  <c r="U24" i="4"/>
  <c r="U29" i="4"/>
  <c r="U30" i="4" s="1"/>
  <c r="U42" i="4" s="1"/>
  <c r="U45" i="2"/>
  <c r="U46" i="2"/>
  <c r="S48" i="3"/>
  <c r="V19" i="2"/>
  <c r="W10" i="2"/>
  <c r="V15" i="2"/>
  <c r="W11" i="2"/>
  <c r="V18" i="2"/>
  <c r="U19" i="3"/>
  <c r="T45" i="4"/>
  <c r="T42" i="4"/>
  <c r="U18" i="3"/>
  <c r="V10" i="3"/>
  <c r="U15" i="3"/>
  <c r="S48" i="4"/>
  <c r="T46" i="2"/>
  <c r="V18" i="4"/>
  <c r="AI22" i="4" l="1"/>
  <c r="AJ13" i="4"/>
  <c r="AE5" i="4"/>
  <c r="AD6" i="4"/>
  <c r="AE5" i="3"/>
  <c r="AD6" i="3"/>
  <c r="AJ14" i="2"/>
  <c r="AI20" i="2"/>
  <c r="AI31" i="2" s="1"/>
  <c r="AH31" i="2"/>
  <c r="AJ13" i="2"/>
  <c r="AI22" i="2"/>
  <c r="AE5" i="2"/>
  <c r="AD6" i="2"/>
  <c r="AJ14" i="3"/>
  <c r="AI20" i="3"/>
  <c r="AI31" i="3" s="1"/>
  <c r="AI22" i="3"/>
  <c r="AJ13" i="3"/>
  <c r="AJ14" i="4"/>
  <c r="AI20" i="4"/>
  <c r="AI31" i="4" s="1"/>
  <c r="AH31" i="4"/>
  <c r="V33" i="4"/>
  <c r="V32" i="4"/>
  <c r="U46" i="4"/>
  <c r="U45" i="4"/>
  <c r="V32" i="2"/>
  <c r="V33" i="2"/>
  <c r="X10" i="2"/>
  <c r="V25" i="2"/>
  <c r="V26" i="2" s="1"/>
  <c r="V24" i="2"/>
  <c r="V29" i="2"/>
  <c r="V30" i="2" s="1"/>
  <c r="U25" i="3"/>
  <c r="U26" i="3" s="1"/>
  <c r="U24" i="3"/>
  <c r="U29" i="3"/>
  <c r="U30" i="3" s="1"/>
  <c r="U32" i="3"/>
  <c r="U33" i="3"/>
  <c r="T48" i="2"/>
  <c r="U48" i="2" s="1"/>
  <c r="V25" i="4"/>
  <c r="V26" i="4" s="1"/>
  <c r="V24" i="4"/>
  <c r="V29" i="4"/>
  <c r="V30" i="4" s="1"/>
  <c r="W11" i="4"/>
  <c r="V11" i="3"/>
  <c r="W12" i="2"/>
  <c r="W18" i="2"/>
  <c r="V12" i="3"/>
  <c r="T46" i="4"/>
  <c r="T46" i="3"/>
  <c r="W19" i="4"/>
  <c r="AJ22" i="4" l="1"/>
  <c r="AK13" i="4"/>
  <c r="AF5" i="4"/>
  <c r="AE6" i="4"/>
  <c r="AF5" i="3"/>
  <c r="AE6" i="3"/>
  <c r="AK14" i="2"/>
  <c r="AJ20" i="2"/>
  <c r="AK13" i="2"/>
  <c r="AJ22" i="2"/>
  <c r="AF5" i="2"/>
  <c r="AE6" i="2"/>
  <c r="AJ20" i="3"/>
  <c r="AJ31" i="3" s="1"/>
  <c r="AK14" i="3"/>
  <c r="AJ22" i="3"/>
  <c r="AK13" i="3"/>
  <c r="AK14" i="4"/>
  <c r="AJ20" i="4"/>
  <c r="AJ31" i="4" s="1"/>
  <c r="V45" i="2"/>
  <c r="V42" i="2"/>
  <c r="U45" i="3"/>
  <c r="U42" i="3"/>
  <c r="V45" i="4"/>
  <c r="V42" i="4"/>
  <c r="W15" i="4"/>
  <c r="X10" i="4"/>
  <c r="X11" i="4"/>
  <c r="W18" i="4"/>
  <c r="W10" i="3"/>
  <c r="V15" i="3"/>
  <c r="V18" i="3"/>
  <c r="W19" i="2"/>
  <c r="X12" i="2"/>
  <c r="W24" i="2"/>
  <c r="W25" i="2"/>
  <c r="W26" i="2" s="1"/>
  <c r="W29" i="2"/>
  <c r="W30" i="2" s="1"/>
  <c r="V19" i="3"/>
  <c r="T48" i="4"/>
  <c r="U48" i="4" s="1"/>
  <c r="T48" i="3"/>
  <c r="X11" i="2"/>
  <c r="W15" i="2"/>
  <c r="AN13" i="4" l="1"/>
  <c r="AK22" i="4"/>
  <c r="AN22" i="4" s="1"/>
  <c r="AG5" i="4"/>
  <c r="AF6" i="4"/>
  <c r="AG5" i="3"/>
  <c r="AF6" i="3"/>
  <c r="AN14" i="2"/>
  <c r="AK20" i="2"/>
  <c r="AK31" i="2" s="1"/>
  <c r="AN20" i="2"/>
  <c r="AJ31" i="2"/>
  <c r="AN31" i="2" s="1"/>
  <c r="AN13" i="2"/>
  <c r="AK22" i="2"/>
  <c r="AN22" i="2" s="1"/>
  <c r="AG5" i="2"/>
  <c r="AF6" i="2"/>
  <c r="AN14" i="3"/>
  <c r="AK20" i="3"/>
  <c r="AN13" i="3"/>
  <c r="AK22" i="3"/>
  <c r="AN22" i="3" s="1"/>
  <c r="AN14" i="4"/>
  <c r="AK20" i="4"/>
  <c r="W33" i="4"/>
  <c r="W32" i="4"/>
  <c r="X12" i="4"/>
  <c r="Y10" i="4"/>
  <c r="X15" i="4"/>
  <c r="W25" i="4"/>
  <c r="W26" i="4" s="1"/>
  <c r="W24" i="4"/>
  <c r="W29" i="4"/>
  <c r="W30" i="4" s="1"/>
  <c r="V32" i="3"/>
  <c r="V33" i="3"/>
  <c r="V25" i="3"/>
  <c r="V26" i="3" s="1"/>
  <c r="V24" i="3"/>
  <c r="V29" i="3"/>
  <c r="V30" i="3" s="1"/>
  <c r="W45" i="2"/>
  <c r="Y10" i="2"/>
  <c r="AM10" i="2" s="1"/>
  <c r="X15" i="2"/>
  <c r="Y11" i="2"/>
  <c r="X18" i="2"/>
  <c r="W33" i="2"/>
  <c r="W32" i="2"/>
  <c r="U46" i="3"/>
  <c r="V46" i="4"/>
  <c r="W11" i="3"/>
  <c r="X19" i="2"/>
  <c r="W12" i="3"/>
  <c r="V46" i="2"/>
  <c r="X18" i="4"/>
  <c r="AH5" i="4" l="1"/>
  <c r="AG6" i="4"/>
  <c r="AH5" i="3"/>
  <c r="AG6" i="3"/>
  <c r="AH5" i="2"/>
  <c r="AG6" i="2"/>
  <c r="AN20" i="3"/>
  <c r="AK31" i="3"/>
  <c r="AN31" i="3" s="1"/>
  <c r="AN20" i="4"/>
  <c r="AK31" i="4"/>
  <c r="AN31" i="4" s="1"/>
  <c r="Y12" i="4"/>
  <c r="Y19" i="4"/>
  <c r="X19" i="4"/>
  <c r="AM19" i="4" s="1"/>
  <c r="X33" i="4"/>
  <c r="X32" i="4"/>
  <c r="W45" i="4"/>
  <c r="W42" i="4"/>
  <c r="V45" i="3"/>
  <c r="V42" i="3"/>
  <c r="X32" i="2"/>
  <c r="X33" i="2"/>
  <c r="AM11" i="2"/>
  <c r="Y15" i="2"/>
  <c r="Z10" i="2"/>
  <c r="AM18" i="2"/>
  <c r="X24" i="2"/>
  <c r="X25" i="2"/>
  <c r="X26" i="2" s="1"/>
  <c r="X29" i="2"/>
  <c r="X30" i="2" s="1"/>
  <c r="W42" i="2"/>
  <c r="U48" i="3"/>
  <c r="V48" i="4"/>
  <c r="W18" i="3"/>
  <c r="W15" i="3"/>
  <c r="X10" i="3"/>
  <c r="X11" i="3"/>
  <c r="W19" i="3"/>
  <c r="X12" i="3"/>
  <c r="X19" i="3"/>
  <c r="V48" i="2"/>
  <c r="AM10" i="4"/>
  <c r="Y11" i="4"/>
  <c r="Y12" i="2"/>
  <c r="Y18" i="2"/>
  <c r="AI5" i="4" l="1"/>
  <c r="AH6" i="4"/>
  <c r="AI5" i="3"/>
  <c r="AH6" i="3"/>
  <c r="AI5" i="2"/>
  <c r="AH6" i="2"/>
  <c r="Z12" i="4"/>
  <c r="AM12" i="4"/>
  <c r="Z19" i="4"/>
  <c r="AM15" i="2"/>
  <c r="Y32" i="2"/>
  <c r="AM32" i="2" s="1"/>
  <c r="Y33" i="2"/>
  <c r="AM33" i="2" s="1"/>
  <c r="AM24" i="2"/>
  <c r="X45" i="2"/>
  <c r="AM30" i="2"/>
  <c r="X42" i="2"/>
  <c r="W46" i="2"/>
  <c r="W25" i="3"/>
  <c r="W26" i="3" s="1"/>
  <c r="W24" i="3"/>
  <c r="W29" i="3"/>
  <c r="W30" i="3" s="1"/>
  <c r="W32" i="3"/>
  <c r="W33" i="3"/>
  <c r="Y11" i="3"/>
  <c r="Y18" i="3"/>
  <c r="X15" i="3"/>
  <c r="Y10" i="3"/>
  <c r="AM10" i="3" s="1"/>
  <c r="Y12" i="3"/>
  <c r="AM11" i="4"/>
  <c r="Y15" i="4"/>
  <c r="Z10" i="4"/>
  <c r="Z11" i="4"/>
  <c r="Y18" i="4"/>
  <c r="AM12" i="2"/>
  <c r="Z12" i="2"/>
  <c r="Y19" i="2"/>
  <c r="AM19" i="2" s="1"/>
  <c r="Y24" i="2"/>
  <c r="Y25" i="2"/>
  <c r="Y29" i="2"/>
  <c r="Y30" i="2" s="1"/>
  <c r="V46" i="3"/>
  <c r="Z11" i="2"/>
  <c r="X18" i="3"/>
  <c r="X25" i="4"/>
  <c r="X26" i="4" s="1"/>
  <c r="X24" i="4"/>
  <c r="X29" i="4"/>
  <c r="X30" i="4" s="1"/>
  <c r="W46" i="4"/>
  <c r="AJ5" i="4" l="1"/>
  <c r="AI6" i="4"/>
  <c r="AJ5" i="3"/>
  <c r="AI6" i="3"/>
  <c r="AJ5" i="2"/>
  <c r="AI6" i="2"/>
  <c r="W48" i="2"/>
  <c r="X48" i="2" s="1"/>
  <c r="W45" i="3"/>
  <c r="W42" i="3"/>
  <c r="AM11" i="3"/>
  <c r="Y15" i="3"/>
  <c r="Z10" i="3"/>
  <c r="X32" i="3"/>
  <c r="X33" i="3"/>
  <c r="AM12" i="3"/>
  <c r="Z12" i="3"/>
  <c r="Z19" i="3"/>
  <c r="AM15" i="4"/>
  <c r="Y33" i="4"/>
  <c r="AM33" i="4" s="1"/>
  <c r="Y32" i="4"/>
  <c r="AM32" i="4" s="1"/>
  <c r="AA10" i="4"/>
  <c r="Z15" i="4"/>
  <c r="AM18" i="4"/>
  <c r="Y25" i="4"/>
  <c r="Y24" i="4"/>
  <c r="Y29" i="4"/>
  <c r="Y30" i="4" s="1"/>
  <c r="B18" i="5"/>
  <c r="AM45" i="2"/>
  <c r="B10" i="5"/>
  <c r="Y45" i="2"/>
  <c r="AM25" i="2"/>
  <c r="Y26" i="2"/>
  <c r="AM26" i="2" s="1"/>
  <c r="V48" i="3"/>
  <c r="AA10" i="2"/>
  <c r="Z15" i="2"/>
  <c r="AA11" i="2"/>
  <c r="Z18" i="2"/>
  <c r="X25" i="3"/>
  <c r="X26" i="3" s="1"/>
  <c r="X24" i="3"/>
  <c r="X29" i="3"/>
  <c r="X30" i="3" s="1"/>
  <c r="X42" i="3" s="1"/>
  <c r="X45" i="4"/>
  <c r="AM24" i="4"/>
  <c r="AM30" i="4"/>
  <c r="X42" i="4"/>
  <c r="W48" i="4"/>
  <c r="Y19" i="3"/>
  <c r="AM19" i="3" s="1"/>
  <c r="Z18" i="4"/>
  <c r="Z19" i="2"/>
  <c r="Y42" i="2"/>
  <c r="AM42" i="2" s="1"/>
  <c r="AM18" i="3"/>
  <c r="X46" i="2"/>
  <c r="AK5" i="4" l="1"/>
  <c r="AK6" i="4" s="1"/>
  <c r="AJ6" i="4"/>
  <c r="AN6" i="4" s="1"/>
  <c r="AK5" i="3"/>
  <c r="AK6" i="3" s="1"/>
  <c r="AJ6" i="3"/>
  <c r="AN6" i="3" s="1"/>
  <c r="AK5" i="2"/>
  <c r="AK6" i="2" s="1"/>
  <c r="AJ6" i="2"/>
  <c r="AN6" i="2" s="1"/>
  <c r="AM15" i="3"/>
  <c r="Y32" i="3"/>
  <c r="AM32" i="3" s="1"/>
  <c r="Y33" i="3"/>
  <c r="AM33" i="3" s="1"/>
  <c r="Z33" i="4"/>
  <c r="D5" i="5"/>
  <c r="Z32" i="4"/>
  <c r="AM25" i="4"/>
  <c r="Y26" i="4"/>
  <c r="AM26" i="4" s="1"/>
  <c r="AM45" i="4"/>
  <c r="D10" i="5"/>
  <c r="Y45" i="4"/>
  <c r="Z32" i="2"/>
  <c r="Z33" i="2"/>
  <c r="B5" i="5"/>
  <c r="AA15" i="2"/>
  <c r="AB10" i="2"/>
  <c r="Z25" i="2"/>
  <c r="Z26" i="2" s="1"/>
  <c r="B13" i="5" s="1"/>
  <c r="Z24" i="2"/>
  <c r="Z29" i="2"/>
  <c r="Z30" i="2" s="1"/>
  <c r="X45" i="3"/>
  <c r="X46" i="3"/>
  <c r="Z25" i="4"/>
  <c r="Z26" i="4" s="1"/>
  <c r="D13" i="5" s="1"/>
  <c r="Z24" i="4"/>
  <c r="Z29" i="4"/>
  <c r="Z30" i="4" s="1"/>
  <c r="AA12" i="4"/>
  <c r="Z11" i="3"/>
  <c r="Y29" i="3"/>
  <c r="Y30" i="3" s="1"/>
  <c r="Y42" i="3" s="1"/>
  <c r="AA18" i="2"/>
  <c r="Y42" i="4"/>
  <c r="AM42" i="4" s="1"/>
  <c r="AA12" i="2"/>
  <c r="Y46" i="2"/>
  <c r="X46" i="4"/>
  <c r="W46" i="3"/>
  <c r="AM42" i="3"/>
  <c r="Y24" i="3"/>
  <c r="AA11" i="4"/>
  <c r="AN5" i="4"/>
  <c r="AN5" i="3"/>
  <c r="Y25" i="3"/>
  <c r="AA32" i="2" l="1"/>
  <c r="AA33" i="2"/>
  <c r="Z45" i="2"/>
  <c r="Z42" i="2"/>
  <c r="Z45" i="4"/>
  <c r="Z42" i="4"/>
  <c r="AA19" i="4"/>
  <c r="Z15" i="3"/>
  <c r="AA11" i="3"/>
  <c r="AA10" i="3"/>
  <c r="Z18" i="3"/>
  <c r="AB12" i="2"/>
  <c r="AA19" i="2"/>
  <c r="AM46" i="2"/>
  <c r="Y48" i="2"/>
  <c r="B21" i="5"/>
  <c r="X48" i="4"/>
  <c r="W48" i="3"/>
  <c r="X48" i="3" s="1"/>
  <c r="Y48" i="3" s="1"/>
  <c r="Y46" i="3"/>
  <c r="C21" i="5" s="1"/>
  <c r="Y45" i="3"/>
  <c r="AM45" i="3"/>
  <c r="C10" i="5"/>
  <c r="AA15" i="4"/>
  <c r="AB10" i="4"/>
  <c r="AB11" i="4"/>
  <c r="AA18" i="4"/>
  <c r="Y26" i="3"/>
  <c r="AM26" i="3" s="1"/>
  <c r="AM25" i="3"/>
  <c r="AN5" i="2"/>
  <c r="AM24" i="3"/>
  <c r="AM30" i="3"/>
  <c r="Y46" i="4"/>
  <c r="D21" i="5" s="1"/>
  <c r="AB11" i="2"/>
  <c r="Z32" i="3" l="1"/>
  <c r="Z33" i="3"/>
  <c r="C5" i="5"/>
  <c r="AB10" i="3"/>
  <c r="AA12" i="3"/>
  <c r="Z25" i="3"/>
  <c r="Z26" i="3" s="1"/>
  <c r="C13" i="5" s="1"/>
  <c r="Z24" i="3"/>
  <c r="Z29" i="3"/>
  <c r="Z30" i="3" s="1"/>
  <c r="AC12" i="2"/>
  <c r="AC19" i="2"/>
  <c r="AM48" i="2"/>
  <c r="AM48" i="3"/>
  <c r="AA33" i="4"/>
  <c r="AA32" i="4"/>
  <c r="AC11" i="4"/>
  <c r="AC10" i="4"/>
  <c r="AA25" i="4"/>
  <c r="AA26" i="4" s="1"/>
  <c r="AA24" i="4"/>
  <c r="AA29" i="4"/>
  <c r="AA30" i="4" s="1"/>
  <c r="AC10" i="2"/>
  <c r="AB15" i="2"/>
  <c r="AC11" i="2"/>
  <c r="AB18" i="2"/>
  <c r="Z46" i="2"/>
  <c r="Z46" i="4"/>
  <c r="AA24" i="2"/>
  <c r="AA29" i="2"/>
  <c r="AA30" i="2" s="1"/>
  <c r="AM46" i="3"/>
  <c r="AB12" i="4"/>
  <c r="AA18" i="3"/>
  <c r="AA25" i="2"/>
  <c r="AA26" i="2" s="1"/>
  <c r="AB19" i="2"/>
  <c r="Y48" i="4"/>
  <c r="AM46" i="4"/>
  <c r="AB18" i="4"/>
  <c r="AB12" i="3" l="1"/>
  <c r="AA19" i="3"/>
  <c r="Z45" i="3"/>
  <c r="Z42" i="3"/>
  <c r="AD10" i="4"/>
  <c r="AA45" i="4"/>
  <c r="AA42" i="4"/>
  <c r="AB32" i="2"/>
  <c r="AB33" i="2"/>
  <c r="AC15" i="2"/>
  <c r="AD10" i="2"/>
  <c r="AB24" i="2"/>
  <c r="AB25" i="2"/>
  <c r="AB26" i="2" s="1"/>
  <c r="AB29" i="2"/>
  <c r="AB30" i="2" s="1"/>
  <c r="AB42" i="2" s="1"/>
  <c r="AA45" i="2"/>
  <c r="AA42" i="2"/>
  <c r="AB19" i="4"/>
  <c r="AC12" i="4"/>
  <c r="AC19" i="4"/>
  <c r="AA25" i="3"/>
  <c r="AA26" i="3" s="1"/>
  <c r="AA24" i="3"/>
  <c r="AA29" i="3"/>
  <c r="AA30" i="3" s="1"/>
  <c r="AM48" i="4"/>
  <c r="Z48" i="4"/>
  <c r="AB25" i="4"/>
  <c r="AB26" i="4" s="1"/>
  <c r="AB24" i="4"/>
  <c r="AB29" i="4"/>
  <c r="AB30" i="4" s="1"/>
  <c r="AB11" i="3"/>
  <c r="AB15" i="4"/>
  <c r="AC18" i="4"/>
  <c r="AC18" i="2"/>
  <c r="Z48" i="2"/>
  <c r="AA15" i="3"/>
  <c r="AC32" i="2" l="1"/>
  <c r="AC33" i="2"/>
  <c r="AB45" i="2"/>
  <c r="AB46" i="2"/>
  <c r="AD12" i="4"/>
  <c r="AD19" i="4"/>
  <c r="AA45" i="3"/>
  <c r="AA48" i="4"/>
  <c r="D26" i="5"/>
  <c r="AB15" i="3"/>
  <c r="AC10" i="3"/>
  <c r="AC11" i="3"/>
  <c r="AB18" i="3"/>
  <c r="AB32" i="4"/>
  <c r="AB33" i="4"/>
  <c r="AC25" i="4"/>
  <c r="AC26" i="4" s="1"/>
  <c r="AC24" i="4"/>
  <c r="AC29" i="4"/>
  <c r="AC30" i="4" s="1"/>
  <c r="AC25" i="2"/>
  <c r="AC26" i="2" s="1"/>
  <c r="AC24" i="2"/>
  <c r="AC29" i="2"/>
  <c r="AC30" i="2" s="1"/>
  <c r="B26" i="5"/>
  <c r="AA33" i="3"/>
  <c r="AA32" i="3"/>
  <c r="AA46" i="2"/>
  <c r="AC15" i="4"/>
  <c r="AA46" i="4"/>
  <c r="AB19" i="3"/>
  <c r="AD11" i="4"/>
  <c r="AD11" i="2"/>
  <c r="Z46" i="3"/>
  <c r="AD12" i="2"/>
  <c r="AB32" i="3" l="1"/>
  <c r="AB33" i="3"/>
  <c r="AD10" i="3"/>
  <c r="AB25" i="3"/>
  <c r="AB26" i="3" s="1"/>
  <c r="AB24" i="3"/>
  <c r="AB29" i="3"/>
  <c r="AB30" i="3" s="1"/>
  <c r="AB42" i="4"/>
  <c r="AC45" i="2"/>
  <c r="AA42" i="3"/>
  <c r="AC32" i="4"/>
  <c r="AC42" i="4" s="1"/>
  <c r="AC33" i="4"/>
  <c r="AE10" i="4"/>
  <c r="AD15" i="4"/>
  <c r="AE11" i="4"/>
  <c r="AD18" i="4"/>
  <c r="AE10" i="2"/>
  <c r="AD15" i="2"/>
  <c r="AE11" i="2"/>
  <c r="AD18" i="2"/>
  <c r="Z48" i="3"/>
  <c r="AD19" i="2"/>
  <c r="AE12" i="2"/>
  <c r="AC42" i="2"/>
  <c r="AA48" i="2"/>
  <c r="AB48" i="2" s="1"/>
  <c r="AB45" i="4"/>
  <c r="AC12" i="3"/>
  <c r="AC18" i="3"/>
  <c r="AB45" i="3" l="1"/>
  <c r="AB42" i="3"/>
  <c r="AB46" i="4"/>
  <c r="AA46" i="3"/>
  <c r="AD33" i="4"/>
  <c r="AD32" i="4"/>
  <c r="AF11" i="4"/>
  <c r="AE15" i="4"/>
  <c r="AF10" i="4"/>
  <c r="AD25" i="4"/>
  <c r="AD26" i="4" s="1"/>
  <c r="AD24" i="4"/>
  <c r="AD29" i="4"/>
  <c r="AD30" i="4" s="1"/>
  <c r="AD32" i="2"/>
  <c r="AD33" i="2"/>
  <c r="AF11" i="2"/>
  <c r="AE15" i="2"/>
  <c r="AF10" i="2"/>
  <c r="AD24" i="2"/>
  <c r="AD25" i="2"/>
  <c r="AD26" i="2" s="1"/>
  <c r="AD29" i="2"/>
  <c r="AD30" i="2" s="1"/>
  <c r="C26" i="5"/>
  <c r="AF12" i="2"/>
  <c r="AF19" i="2"/>
  <c r="AC19" i="3"/>
  <c r="AD12" i="3"/>
  <c r="AC25" i="3"/>
  <c r="AC26" i="3" s="1"/>
  <c r="AC24" i="3"/>
  <c r="AC29" i="3"/>
  <c r="AC30" i="3" s="1"/>
  <c r="AE18" i="4"/>
  <c r="AE18" i="2"/>
  <c r="AE19" i="2"/>
  <c r="AC46" i="4"/>
  <c r="AE12" i="4"/>
  <c r="AC15" i="3"/>
  <c r="AD11" i="3"/>
  <c r="AC45" i="4"/>
  <c r="AC46" i="2"/>
  <c r="AB48" i="4" l="1"/>
  <c r="AC48" i="4" s="1"/>
  <c r="AG11" i="4"/>
  <c r="AG18" i="4"/>
  <c r="AG10" i="4"/>
  <c r="AE33" i="4"/>
  <c r="AE32" i="4"/>
  <c r="AD45" i="4"/>
  <c r="AD42" i="4"/>
  <c r="AF15" i="2"/>
  <c r="AG10" i="2"/>
  <c r="AE32" i="2"/>
  <c r="AE33" i="2"/>
  <c r="AD45" i="2"/>
  <c r="AD42" i="2"/>
  <c r="AE12" i="3"/>
  <c r="AE24" i="2"/>
  <c r="AE25" i="2"/>
  <c r="AE26" i="2" s="1"/>
  <c r="AE29" i="2"/>
  <c r="AE30" i="2" s="1"/>
  <c r="AE42" i="2" s="1"/>
  <c r="AE19" i="4"/>
  <c r="AF12" i="4"/>
  <c r="AC33" i="3"/>
  <c r="AC32" i="3"/>
  <c r="AD18" i="3"/>
  <c r="AE18" i="3"/>
  <c r="AD15" i="3"/>
  <c r="AE10" i="3"/>
  <c r="AE11" i="3"/>
  <c r="AC48" i="2"/>
  <c r="AF18" i="4"/>
  <c r="AF18" i="2"/>
  <c r="AA48" i="3"/>
  <c r="AD19" i="3"/>
  <c r="AB46" i="3"/>
  <c r="AG15" i="4" l="1"/>
  <c r="AH10" i="4"/>
  <c r="AF32" i="2"/>
  <c r="AF33" i="2"/>
  <c r="AE45" i="2"/>
  <c r="AE46" i="2"/>
  <c r="AG12" i="4"/>
  <c r="AC42" i="3"/>
  <c r="AD25" i="3"/>
  <c r="AD26" i="3" s="1"/>
  <c r="AD24" i="3"/>
  <c r="AD29" i="3"/>
  <c r="AD30" i="3" s="1"/>
  <c r="AD32" i="3"/>
  <c r="AD33" i="3"/>
  <c r="AF10" i="3"/>
  <c r="AE15" i="3"/>
  <c r="AF25" i="4"/>
  <c r="AF26" i="4" s="1"/>
  <c r="AF24" i="4"/>
  <c r="AF29" i="4"/>
  <c r="AF30" i="4" s="1"/>
  <c r="AF25" i="2"/>
  <c r="AF26" i="2" s="1"/>
  <c r="AF24" i="2"/>
  <c r="AF29" i="2"/>
  <c r="AF30" i="2" s="1"/>
  <c r="AF42" i="2" s="1"/>
  <c r="AD46" i="4"/>
  <c r="AG11" i="2"/>
  <c r="AD46" i="2"/>
  <c r="AG12" i="2"/>
  <c r="AE19" i="3"/>
  <c r="AC45" i="3"/>
  <c r="AE25" i="4"/>
  <c r="AE26" i="4" s="1"/>
  <c r="AE24" i="4"/>
  <c r="AE29" i="4"/>
  <c r="AE30" i="4" s="1"/>
  <c r="AB48" i="3"/>
  <c r="AF15" i="4"/>
  <c r="AF19" i="4"/>
  <c r="AG33" i="4" l="1"/>
  <c r="AG32" i="4"/>
  <c r="AH12" i="4"/>
  <c r="AH19" i="4"/>
  <c r="AC46" i="3"/>
  <c r="AD45" i="3"/>
  <c r="AD42" i="3"/>
  <c r="AE32" i="3"/>
  <c r="AE33" i="3"/>
  <c r="AF45" i="2"/>
  <c r="AF46" i="2"/>
  <c r="AD48" i="4"/>
  <c r="AH10" i="2"/>
  <c r="AG15" i="2"/>
  <c r="AH11" i="2"/>
  <c r="AG18" i="2"/>
  <c r="AD48" i="2"/>
  <c r="AE48" i="2" s="1"/>
  <c r="AF48" i="2" s="1"/>
  <c r="AH12" i="2"/>
  <c r="AG19" i="2"/>
  <c r="AE45" i="4"/>
  <c r="AE42" i="4"/>
  <c r="AF32" i="4"/>
  <c r="AF33" i="4"/>
  <c r="AG19" i="4"/>
  <c r="AE29" i="3"/>
  <c r="AE30" i="3" s="1"/>
  <c r="AE24" i="3"/>
  <c r="AE25" i="3"/>
  <c r="AE26" i="3" s="1"/>
  <c r="AF11" i="3"/>
  <c r="AH11" i="4"/>
  <c r="AF12" i="3"/>
  <c r="AC48" i="3" l="1"/>
  <c r="AG32" i="2"/>
  <c r="AG33" i="2"/>
  <c r="AH15" i="2"/>
  <c r="AI10" i="2"/>
  <c r="AG25" i="2"/>
  <c r="AG26" i="2" s="1"/>
  <c r="AG24" i="2"/>
  <c r="AG29" i="2"/>
  <c r="AG30" i="2" s="1"/>
  <c r="AI12" i="2"/>
  <c r="AI19" i="2"/>
  <c r="AF42" i="4"/>
  <c r="AG25" i="4"/>
  <c r="AG26" i="4" s="1"/>
  <c r="AG24" i="4"/>
  <c r="AG29" i="4"/>
  <c r="AG30" i="4" s="1"/>
  <c r="AE45" i="3"/>
  <c r="AG10" i="3"/>
  <c r="AG11" i="3"/>
  <c r="AG18" i="3"/>
  <c r="AF15" i="3"/>
  <c r="AF18" i="3"/>
  <c r="AI10" i="4"/>
  <c r="AI11" i="4"/>
  <c r="AI18" i="4"/>
  <c r="AH15" i="4"/>
  <c r="AH18" i="4"/>
  <c r="AF19" i="3"/>
  <c r="AG12" i="3"/>
  <c r="AF45" i="4"/>
  <c r="AH18" i="2"/>
  <c r="AH19" i="2"/>
  <c r="AE46" i="4"/>
  <c r="AE42" i="3"/>
  <c r="AD46" i="3"/>
  <c r="AH32" i="2" l="1"/>
  <c r="AH33" i="2"/>
  <c r="AG45" i="2"/>
  <c r="AG42" i="2"/>
  <c r="AF46" i="4"/>
  <c r="AG45" i="4"/>
  <c r="AG42" i="4"/>
  <c r="AG15" i="3"/>
  <c r="AH10" i="3"/>
  <c r="AG24" i="3"/>
  <c r="AG25" i="3"/>
  <c r="AG26" i="3" s="1"/>
  <c r="AF32" i="3"/>
  <c r="AF33" i="3"/>
  <c r="AF25" i="3"/>
  <c r="AF26" i="3" s="1"/>
  <c r="AF24" i="3"/>
  <c r="AF29" i="3"/>
  <c r="AF30" i="3" s="1"/>
  <c r="AJ10" i="4"/>
  <c r="AJ11" i="4"/>
  <c r="AI15" i="4"/>
  <c r="AJ18" i="4"/>
  <c r="AH33" i="4"/>
  <c r="AH32" i="4"/>
  <c r="AH25" i="4"/>
  <c r="AH26" i="4" s="1"/>
  <c r="AH24" i="4"/>
  <c r="AH29" i="4"/>
  <c r="AH30" i="4" s="1"/>
  <c r="AH12" i="3"/>
  <c r="AH24" i="2"/>
  <c r="AH25" i="2"/>
  <c r="AH26" i="2" s="1"/>
  <c r="AH29" i="2"/>
  <c r="AH30" i="2" s="1"/>
  <c r="AH42" i="2" s="1"/>
  <c r="AE48" i="4"/>
  <c r="AF48" i="4" s="1"/>
  <c r="AI12" i="4"/>
  <c r="AD48" i="3"/>
  <c r="AE46" i="3"/>
  <c r="AG19" i="3"/>
  <c r="AI11" i="2"/>
  <c r="AG32" i="3" l="1"/>
  <c r="AG33" i="3"/>
  <c r="AF45" i="3"/>
  <c r="AF42" i="3"/>
  <c r="AK10" i="4"/>
  <c r="AN10" i="4" s="1"/>
  <c r="AI33" i="4"/>
  <c r="AI32" i="4"/>
  <c r="AH46" i="4"/>
  <c r="AH45" i="4"/>
  <c r="AH45" i="2"/>
  <c r="AH46" i="2"/>
  <c r="AI19" i="4"/>
  <c r="AJ12" i="4"/>
  <c r="AI18" i="2"/>
  <c r="AJ10" i="2"/>
  <c r="AI15" i="2"/>
  <c r="AJ11" i="2"/>
  <c r="AG46" i="2"/>
  <c r="AG46" i="4"/>
  <c r="AH11" i="3"/>
  <c r="AG29" i="3"/>
  <c r="AG30" i="3" s="1"/>
  <c r="AH42" i="4"/>
  <c r="AH19" i="3"/>
  <c r="AE48" i="3"/>
  <c r="AI29" i="4" l="1"/>
  <c r="AI30" i="4" s="1"/>
  <c r="AI24" i="4"/>
  <c r="AI25" i="4"/>
  <c r="AI26" i="4" s="1"/>
  <c r="AK12" i="4"/>
  <c r="AN12" i="4" s="1"/>
  <c r="AI24" i="2"/>
  <c r="AI25" i="2"/>
  <c r="AI26" i="2" s="1"/>
  <c r="AI29" i="2"/>
  <c r="AI30" i="2" s="1"/>
  <c r="AJ12" i="2"/>
  <c r="AI32" i="2"/>
  <c r="AI33" i="2"/>
  <c r="AJ15" i="2"/>
  <c r="AK10" i="2"/>
  <c r="AG48" i="2"/>
  <c r="AH48" i="2" s="1"/>
  <c r="AG48" i="4"/>
  <c r="AH48" i="4" s="1"/>
  <c r="AH18" i="3"/>
  <c r="AI10" i="3"/>
  <c r="AH15" i="3"/>
  <c r="AI11" i="3"/>
  <c r="AG45" i="3"/>
  <c r="AJ19" i="4"/>
  <c r="AJ15" i="4"/>
  <c r="AK11" i="4"/>
  <c r="AG42" i="3"/>
  <c r="AF46" i="3"/>
  <c r="AJ18" i="2"/>
  <c r="AI42" i="4" l="1"/>
  <c r="AI46" i="4"/>
  <c r="AI45" i="4"/>
  <c r="AI45" i="2"/>
  <c r="AI42" i="2"/>
  <c r="AK12" i="2"/>
  <c r="AN12" i="2" s="1"/>
  <c r="AJ19" i="2"/>
  <c r="AJ32" i="2"/>
  <c r="AJ33" i="2"/>
  <c r="AH25" i="3"/>
  <c r="AH26" i="3" s="1"/>
  <c r="AH24" i="3"/>
  <c r="AH29" i="3"/>
  <c r="AH30" i="3" s="1"/>
  <c r="AI12" i="3"/>
  <c r="AH32" i="3"/>
  <c r="AH33" i="3"/>
  <c r="AJ10" i="3"/>
  <c r="AI15" i="3"/>
  <c r="AJ25" i="4"/>
  <c r="AJ26" i="4" s="1"/>
  <c r="AJ24" i="4"/>
  <c r="AJ32" i="4"/>
  <c r="AJ33" i="4"/>
  <c r="AK18" i="4"/>
  <c r="AK15" i="4"/>
  <c r="AN11" i="4"/>
  <c r="AG46" i="3"/>
  <c r="AF48" i="3"/>
  <c r="AG48" i="3" s="1"/>
  <c r="AJ24" i="2"/>
  <c r="AJ25" i="2"/>
  <c r="AJ26" i="2" s="1"/>
  <c r="AJ29" i="2"/>
  <c r="AJ30" i="2" s="1"/>
  <c r="AJ42" i="2" s="1"/>
  <c r="AN10" i="2"/>
  <c r="AK11" i="2"/>
  <c r="AI18" i="3"/>
  <c r="AJ29" i="4"/>
  <c r="AJ30" i="4" s="1"/>
  <c r="AJ42" i="4" s="1"/>
  <c r="AK19" i="4"/>
  <c r="AN19" i="4" s="1"/>
  <c r="AI48" i="4" l="1"/>
  <c r="AH45" i="3"/>
  <c r="AH42" i="3"/>
  <c r="AI19" i="3"/>
  <c r="AJ12" i="3"/>
  <c r="AI32" i="3"/>
  <c r="AI33" i="3"/>
  <c r="AJ45" i="4"/>
  <c r="AJ46" i="4"/>
  <c r="AK25" i="4"/>
  <c r="AK24" i="4"/>
  <c r="AK29" i="4"/>
  <c r="AK30" i="4" s="1"/>
  <c r="AN18" i="4"/>
  <c r="AN15" i="4"/>
  <c r="AK33" i="4"/>
  <c r="AN33" i="4" s="1"/>
  <c r="AK32" i="4"/>
  <c r="AN32" i="4" s="1"/>
  <c r="AJ45" i="2"/>
  <c r="AJ46" i="2"/>
  <c r="AK15" i="2"/>
  <c r="AN11" i="2"/>
  <c r="AK18" i="2"/>
  <c r="AI25" i="3"/>
  <c r="AI26" i="3" s="1"/>
  <c r="AI46" i="2"/>
  <c r="AK19" i="2"/>
  <c r="AN19" i="2" s="1"/>
  <c r="AJ11" i="3"/>
  <c r="AN25" i="4" l="1"/>
  <c r="AK26" i="4"/>
  <c r="AN26" i="4" s="1"/>
  <c r="D11" i="5"/>
  <c r="AN45" i="4"/>
  <c r="AK45" i="4"/>
  <c r="AN15" i="2"/>
  <c r="AK32" i="2"/>
  <c r="AN32" i="2" s="1"/>
  <c r="AK33" i="2"/>
  <c r="AN33" i="2" s="1"/>
  <c r="AN18" i="2"/>
  <c r="AK25" i="2"/>
  <c r="AK24" i="2"/>
  <c r="AK29" i="2"/>
  <c r="AK30" i="2" s="1"/>
  <c r="AI48" i="2"/>
  <c r="AJ48" i="2" s="1"/>
  <c r="AJ18" i="3"/>
  <c r="AJ15" i="3"/>
  <c r="AK10" i="3"/>
  <c r="AN10" i="3" s="1"/>
  <c r="AJ48" i="4"/>
  <c r="AH46" i="3"/>
  <c r="AK42" i="4"/>
  <c r="AN42" i="4" s="1"/>
  <c r="AJ19" i="3"/>
  <c r="AI24" i="3"/>
  <c r="AI29" i="3"/>
  <c r="AI30" i="3" s="1"/>
  <c r="AN30" i="4"/>
  <c r="AN24" i="4"/>
  <c r="AK26" i="2" l="1"/>
  <c r="AN26" i="2" s="1"/>
  <c r="AN25" i="2"/>
  <c r="AN24" i="2"/>
  <c r="B11" i="5"/>
  <c r="AN45" i="2"/>
  <c r="B19" i="5"/>
  <c r="AK45" i="2"/>
  <c r="AN30" i="2"/>
  <c r="AK42" i="2"/>
  <c r="AN42" i="2" s="1"/>
  <c r="AJ25" i="3"/>
  <c r="AJ26" i="3" s="1"/>
  <c r="AJ24" i="3"/>
  <c r="AJ29" i="3"/>
  <c r="AJ30" i="3" s="1"/>
  <c r="AJ32" i="3"/>
  <c r="AJ33" i="3"/>
  <c r="AH48" i="3"/>
  <c r="AI45" i="3"/>
  <c r="AI42" i="3"/>
  <c r="AK46" i="4"/>
  <c r="AK11" i="3"/>
  <c r="AK12" i="3"/>
  <c r="AJ45" i="3" l="1"/>
  <c r="AN46" i="4"/>
  <c r="AK48" i="4"/>
  <c r="AN48" i="4" s="1"/>
  <c r="D22" i="5"/>
  <c r="AK18" i="3"/>
  <c r="AN11" i="3"/>
  <c r="AK15" i="3"/>
  <c r="AK19" i="3"/>
  <c r="AN19" i="3" s="1"/>
  <c r="AN12" i="3"/>
  <c r="AK46" i="2"/>
  <c r="AJ42" i="3"/>
  <c r="AI46" i="3"/>
  <c r="AN18" i="3" l="1"/>
  <c r="AK25" i="3"/>
  <c r="AK29" i="3"/>
  <c r="AK30" i="3" s="1"/>
  <c r="AN15" i="3"/>
  <c r="AK32" i="3"/>
  <c r="AN32" i="3" s="1"/>
  <c r="AK33" i="3"/>
  <c r="AN33" i="3" s="1"/>
  <c r="B22" i="5"/>
  <c r="AK48" i="2"/>
  <c r="AN48" i="2" s="1"/>
  <c r="AN46" i="2"/>
  <c r="AI48" i="3"/>
  <c r="AJ46" i="3"/>
  <c r="AN25" i="3" l="1"/>
  <c r="AK26" i="3"/>
  <c r="AN26" i="3" s="1"/>
  <c r="AN24" i="3"/>
  <c r="AN45" i="3"/>
  <c r="C11" i="5"/>
  <c r="AK45" i="3"/>
  <c r="AN30" i="3"/>
  <c r="AK42" i="3"/>
  <c r="AN42" i="3" s="1"/>
  <c r="AJ48" i="3"/>
  <c r="AK46" i="3" l="1"/>
  <c r="AK48" i="3" l="1"/>
  <c r="AN48" i="3" s="1"/>
  <c r="AN46" i="3"/>
  <c r="C22" i="5"/>
</calcChain>
</file>

<file path=xl/sharedStrings.xml><?xml version="1.0" encoding="utf-8"?>
<sst xmlns="http://schemas.openxmlformats.org/spreadsheetml/2006/main" count="601" uniqueCount="292">
  <si>
    <t>NutriSync — Assumptions (All blue cells are inputs. Change here; all scenario sheets update.)</t>
  </si>
  <si>
    <t>Category</t>
  </si>
  <si>
    <t>Assumption</t>
  </si>
  <si>
    <t>Conservative</t>
  </si>
  <si>
    <t>Realistic</t>
  </si>
  <si>
    <t>Ambitious</t>
  </si>
  <si>
    <t>PRICING</t>
  </si>
  <si>
    <t>B2C basic price/mo (€)</t>
  </si>
  <si>
    <t>B2C premium price/mo (€) — launches M13</t>
  </si>
  <si>
    <t>B2B price Y1 (€/employee/mo)</t>
  </si>
  <si>
    <t>B2B price Y2+ renewal (€/employee/mo)</t>
  </si>
  <si>
    <t>FUNNEL</t>
  </si>
  <si>
    <t>New organic free users M1</t>
  </si>
  <si>
    <t>Organic new-user growth rate (%/mo)</t>
  </si>
  <si>
    <t>Free-to-paid conversion (one-off % per month new free users)</t>
  </si>
  <si>
    <t>Paid social budget Y1 (€/mo, from M4)</t>
  </si>
  <si>
    <t>Paid social budget Y2 (€/mo)</t>
  </si>
  <si>
    <t>Paid social budget Y3 (€/mo)</t>
  </si>
  <si>
    <t>CAC — paid social Y1 (€/paying subscriber)</t>
  </si>
  <si>
    <t>CAC — paid social Y2+ (€/paying subscriber)</t>
  </si>
  <si>
    <t>CHURN</t>
  </si>
  <si>
    <t>Base monthly churn Y1 (average fitness app = 9.2%)</t>
  </si>
  <si>
    <t>Base monthly churn Y2</t>
  </si>
  <si>
    <t>Base monthly churn Y3</t>
  </si>
  <si>
    <t>Wearable adoption ramp (%-pts/mo from M4)</t>
  </si>
  <si>
    <t>Wearable adoption cap (% of paid users)</t>
  </si>
  <si>
    <t>Wearable churn reduction (vs base; 30–40% defensible)</t>
  </si>
  <si>
    <t>PREMIUM</t>
  </si>
  <si>
    <t>Premium launch month</t>
  </si>
  <si>
    <t>Premium upgrade rate (%/mo of basic base, post-launch)</t>
  </si>
  <si>
    <t>Premium monthly churn</t>
  </si>
  <si>
    <t>B2B</t>
  </si>
  <si>
    <t>New B2B contracts/mo Y1 (from M6)</t>
  </si>
  <si>
    <t>New B2B contracts/mo Y2</t>
  </si>
  <si>
    <t>New B2B contracts/mo Y3</t>
  </si>
  <si>
    <t>Avg employees per B2B contract</t>
  </si>
  <si>
    <t>B2B annual logo churn</t>
  </si>
  <si>
    <t>OTHER REV</t>
  </si>
  <si>
    <t>Events net €/mo Y1 (from M3)</t>
  </si>
  <si>
    <t>Events net €/mo Y2</t>
  </si>
  <si>
    <t>Events net €/mo Y3</t>
  </si>
  <si>
    <t>Brand partnerships €/mo Y3 (conservative = 0)</t>
  </si>
  <si>
    <t>Clinical referral fee (€/contract signed/mo, from M6)</t>
  </si>
  <si>
    <t>FEES</t>
  </si>
  <si>
    <t>App store fee — Small Business Programme (UNDER $1M proceeds)</t>
  </si>
  <si>
    <t>App store fee — standard (ABOVE $1M proceeds threshold)</t>
  </si>
  <si>
    <t>TTM B2C revenue threshold for 30% rate (€)</t>
  </si>
  <si>
    <t>Stripe fee on B2B revenue</t>
  </si>
  <si>
    <t>AI COSTS</t>
  </si>
  <si>
    <t>AI API base €/mo (from M6)</t>
  </si>
  <si>
    <t>AI API additional € per 500 paying users</t>
  </si>
  <si>
    <t>AI API monthly cap (€)</t>
  </si>
  <si>
    <t>DEEP TECH</t>
  </si>
  <si>
    <t>HealthKit + Health Connect build (one-off, spread M4–6)</t>
  </si>
  <si>
    <t>Oura Ring integration (one-off M15)</t>
  </si>
  <si>
    <t>Predictive AI dev cost/mo (M20–M23)</t>
  </si>
  <si>
    <t>PEOPLE</t>
  </si>
  <si>
    <t>Founder stipends total/mo Y1 (3 × €900)</t>
  </si>
  <si>
    <t>Founder stipends total/mo Y2+ (3 × €2,000)</t>
  </si>
  <si>
    <t>Team salaries €/mo M3–M6</t>
  </si>
  <si>
    <t>Team salaries €/mo M7–M12</t>
  </si>
  <si>
    <t>Team salaries €/mo Y2</t>
  </si>
  <si>
    <t>Team salaries €/mo Y3</t>
  </si>
  <si>
    <t>Marketing content/tools base €/mo Y1 (excl. paid social)</t>
  </si>
  <si>
    <t>Marketing content/tools base €/mo Y2</t>
  </si>
  <si>
    <t>Marketing content/tools base €/mo Y3</t>
  </si>
  <si>
    <t>Clinical partnerships cost €/mo Y1 (from M3)</t>
  </si>
  <si>
    <t>Clinical partnerships cost €/mo Y2</t>
  </si>
  <si>
    <t>Clinical partnerships cost €/mo Y3</t>
  </si>
  <si>
    <t>Legal &amp; admin €/mo M1–M3 (SL, GDPR)</t>
  </si>
  <si>
    <t>Legal &amp; admin €/mo M4+ (maintenance)</t>
  </si>
  <si>
    <t>INFRA</t>
  </si>
  <si>
    <t>Infrastructure base €/mo</t>
  </si>
  <si>
    <t>Infrastructure variable (€ per 400 users)</t>
  </si>
  <si>
    <t>Infrastructure monthly cap (€)</t>
  </si>
  <si>
    <t>FUNDING</t>
  </si>
  <si>
    <t>Pre-seed cash raised (M1)</t>
  </si>
  <si>
    <t>Seed round injection month</t>
  </si>
  <si>
    <t>Seed round amount (€)</t>
  </si>
  <si>
    <t>NutriSync — Conservative Scenario  |  All inputs from Assumptions sheet  |  Blue = inputs, Black = formulas</t>
  </si>
  <si>
    <t>METRIC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</si>
  <si>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</si>
  <si>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</si>
  <si>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</si>
  <si>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</si>
  <si>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</si>
  <si>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</si>
  <si>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</si>
  <si>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</si>
  <si>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</si>
  <si>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</si>
  <si>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</si>
  <si>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</si>
  <si>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</si>
  <si>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</si>
  <si>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</si>
  <si>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</si>
  <si>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</si>
  <si>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</si>
  <si>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</si>
  <si>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</si>
  <si>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</si>
  <si>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</si>
  <si>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</si>
  <si>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</si>
  <si>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</si>
  <si>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</si>
  <si>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</si>
  <si>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</si>
  <si>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</si>
  <si>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</si>
  <si>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</si>
  <si>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</si>
  <si>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</si>
  <si>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</si>
  <si>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</si>
  <si>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</si>
  <si>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Y1 Total</t>
  </si>
  <si>
    <t>Y2 Total</t>
  </si>
  <si>
    <t>Y3 Total</t>
  </si>
  <si>
    <t>Notes / Formula</t>
  </si>
  <si>
    <t>Year</t>
  </si>
  <si>
    <t>SECTION 1 — USER PROJECTIONS</t>
  </si>
  <si>
    <t>New organic free users/mo</t>
  </si>
  <si>
    <t>Compounds from M1 at organic growth rate.</t>
  </si>
  <si>
    <t xml:space="preserve">  → New paid: organic conversion (one-off per month's new free users)</t>
  </si>
  <si>
    <t>5–8% one-off per month (NOT monthly to pool). Benchmark: RevenueCat H&amp;F median 6.9%.</t>
  </si>
  <si>
    <t xml:space="preserve">  → New paid: paid social (budget ÷ CAC)</t>
  </si>
  <si>
    <t>Budget / CAC. CAC corrected: €20 Y1 conservative (not €6–8; install alone $3.70–4.70).</t>
  </si>
  <si>
    <t xml:space="preserve">  % of paid users with wearable connected</t>
  </si>
  <si>
    <t>Ramps +1.5–2.5%pts/mo from M4; capped at adoption ceiling.</t>
  </si>
  <si>
    <t xml:space="preserve">  Blended monthly churn (wearable-adjusted)</t>
  </si>
  <si>
    <t>base × (1 − wearable% × reduction_factor).</t>
  </si>
  <si>
    <t xml:space="preserve">  Premium upgrades from basic (M13+)</t>
  </si>
  <si>
    <t>0.75–1.5%/mo of basic base (corrected from 4–8%/mo compounding).</t>
  </si>
  <si>
    <t>B2C basic subscribers (EoM)</t>
  </si>
  <si>
    <t>Prior × (1-churn) - upgrades + new converts.</t>
  </si>
  <si>
    <t>B2C premium subscribers (EoM — upgrade from basic, not added on top)</t>
  </si>
  <si>
    <t>Premium users MOVE from basic — no double-counting.</t>
  </si>
  <si>
    <t>B2B contracts signed (cumulative)</t>
  </si>
  <si>
    <t>B2B employees active (EoM)</t>
  </si>
  <si>
    <t>Prior × (1-monthly logo churn) + new seats.</t>
  </si>
  <si>
    <t>TOTAL PAYING USERS (EoM)</t>
  </si>
  <si>
    <t>Basic + premium + B2B. Premium NOT double-counted.</t>
  </si>
  <si>
    <t>SECTION 2 — REVENUE</t>
  </si>
  <si>
    <t>B2C basic subscriptions</t>
  </si>
  <si>
    <t>B2C premium subscriptions (from M13)</t>
  </si>
  <si>
    <t>B2B corporate wellbeing</t>
  </si>
  <si>
    <t>Events &amp; workshops (net)</t>
  </si>
  <si>
    <t>€420 earned to date → €500 conservative. NOT in MRR.</t>
  </si>
  <si>
    <t>Clinical B2B referral fees (€/contract/mo, from M6)</t>
  </si>
  <si>
    <t>Brand partnerships (0 in conservative; upside only)</t>
  </si>
  <si>
    <t>TOTAL REVENUE</t>
  </si>
  <si>
    <t>MRR — recurring only (basic + premium + B2B)</t>
  </si>
  <si>
    <t>Events and clinical fees excluded — VCs strip them.</t>
  </si>
  <si>
    <t>ARR (MRR × 12)</t>
  </si>
  <si>
    <t>SECTION 3 — COSTS</t>
  </si>
  <si>
    <t xml:space="preserve">  [helper] Trailing-12-month B2C gross revenue (fee-tier test)</t>
  </si>
  <si>
    <t>App store fees — CORRECTED (15% under $1M; 30% above)</t>
  </si>
  <si>
    <t>CORRECTED: 15% until trailing-12mo B2C &gt; ~$1M; 30% after. Original was backwards.</t>
  </si>
  <si>
    <t>Payment processing (Stripe 1.4% on B2B)</t>
  </si>
  <si>
    <t>AI API costs (from M6, scales with users, capped)</t>
  </si>
  <si>
    <t>Infrastructure &amp; hosting (base + variable, capped)</t>
  </si>
  <si>
    <t>Founder stipends ×3</t>
  </si>
  <si>
    <t>Team salaries &amp; contractors</t>
  </si>
  <si>
    <t>Marketing (content/tools base + paid social)</t>
  </si>
  <si>
    <t>Clinical partnerships (cost)</t>
  </si>
  <si>
    <t>Legal &amp; admin</t>
  </si>
  <si>
    <t xml:space="preserve">  HealthKit + Health Connect build (M4–6, one-off)</t>
  </si>
  <si>
    <t xml:space="preserve">  Oura Ring integration (M15, one-off)</t>
  </si>
  <si>
    <t xml:space="preserve">  Predictive AI dev (M20–M23, €3K/mo)</t>
  </si>
  <si>
    <t>TOTAL COSTS</t>
  </si>
  <si>
    <t>SECTION 4 — PROFIT &amp; LOSS &amp; CASH</t>
  </si>
  <si>
    <t>Gross margin % — FIXED (from annual revenue/COGS sums, not monthly average)</t>
  </si>
  <si>
    <t>CORRECTED: annual cell = (annual revenue - annual COGS) / annual revenue. Old formula averaged monthly %s → ~6% nonsense.</t>
  </si>
  <si>
    <t>Net burn / profit (negative = burning)</t>
  </si>
  <si>
    <t>Financing inflows (pre-seed M1; seed explicit, not in revenue)</t>
  </si>
  <si>
    <t>Seed shown as explicit injection so runway dependence is honest. NOT revenue.</t>
  </si>
  <si>
    <t>Ending cash (cumulative)</t>
  </si>
  <si>
    <t>SECTION 5 — UNIT ECONOMICS (single consistent method; all linked to assumptions)</t>
  </si>
  <si>
    <t>LTV — B2C basic (price × (1-app_fee) ÷ Y2 avg churn)</t>
  </si>
  <si>
    <t>ONE consistent formula. Original mixed €42.42 / €40.92 / €34.93 across three lines.</t>
  </si>
  <si>
    <t>LTV — B2C premium (price × (1-app_fee) ÷ prem churn)</t>
  </si>
  <si>
    <t>CAC — paid social Y1 (€)</t>
  </si>
  <si>
    <t>LTV:CAC — B2C basic paid channel (VC floor: 3×)</t>
  </si>
  <si>
    <t>VC floor 3×. Corrected LTV and CAC feed this — one consistent calculation.</t>
  </si>
  <si>
    <t>Payback period — paid social (months)</t>
  </si>
  <si>
    <t>CAC — organic Y1 (€4.20 — events €500 + tools €200 ÷ ~167 users)</t>
  </si>
  <si>
    <t>LTV:CAC — organic</t>
  </si>
  <si>
    <t>NutriSync — Realistic Scenario  |  All inputs from Assumptions sheet  |  Blue = inputs, Black = formulas</t>
  </si>
  <si>
    <t>NutriSync — Ambitious Scenario  |  All inputs from Assumptions sheet  |  Blue = inputs, Black = formulas</t>
  </si>
  <si>
    <t>NutriSync — Investor Summary Dashboard  |  Formula-linked to scenario sheets (do not hardcode)</t>
  </si>
  <si>
    <t>Metric</t>
  </si>
  <si>
    <t>Interpretation</t>
  </si>
  <si>
    <t>USERS</t>
  </si>
  <si>
    <t>Total paying users EoY1</t>
  </si>
  <si>
    <t>Basic + premium + B2B (no double-counting)</t>
  </si>
  <si>
    <t>Total paying users EoY2</t>
  </si>
  <si>
    <t>Total paying users EoY3</t>
  </si>
  <si>
    <t>REVENUE</t>
  </si>
  <si>
    <t>Total annual revenue Y1</t>
  </si>
  <si>
    <t>Total annual revenue Y2</t>
  </si>
  <si>
    <t>Total annual revenue Y3</t>
  </si>
  <si>
    <t>ARR at EoY1</t>
  </si>
  <si>
    <t>MRR × 12 at year end. Lead with ARR in VC conversations.</t>
  </si>
  <si>
    <t>ARR at EoY2</t>
  </si>
  <si>
    <t>ARR at EoY3</t>
  </si>
  <si>
    <t>MARGINS &amp; BURN</t>
  </si>
  <si>
    <t>Gross margin Y1 (from annual sums — CORRECTED)</t>
  </si>
  <si>
    <t>—</t>
  </si>
  <si>
    <t>Annual revenue minus direct COGS (fees + AI + 30% infra) / annual revenue</t>
  </si>
  <si>
    <t>Gross margin Y2 (from annual sums — CORRECTED)</t>
  </si>
  <si>
    <t>Gross margin Y3 (from annual sums — CORRECTED)</t>
  </si>
  <si>
    <t>EBITDA / annual burn Y1</t>
  </si>
  <si>
    <t>EBITDA / annual burn Y2</t>
  </si>
  <si>
    <t>EBITDA / annual burn Y3</t>
  </si>
  <si>
    <t>CASH</t>
  </si>
  <si>
    <t>Ending cash EoY1</t>
  </si>
  <si>
    <t>Includes seed injection (explicit, not in revenue). Never goes negative = plan is fundable.</t>
  </si>
  <si>
    <t>Ending cash EoY2</t>
  </si>
  <si>
    <t>Ending cash EoY3</t>
  </si>
  <si>
    <t>CORRECTIONS LOG — WHAT CHANGED VS ORIGINAL</t>
  </si>
  <si>
    <t>1. Free→paid conversion CORRECTED</t>
  </si>
  <si>
    <t>Was 18%/mo applied to entire cumulative free pool (compounded to fantasy user counts). Now 5–8% one-off per month's NEW free users. Benchmark: RevenueCat H&amp;F trial-to-paid median 6.9%.</t>
  </si>
  <si>
    <t>2. CAC CORRECTED</t>
  </si>
  <si>
    <t>Was €6–8 (beating market 4–7×). Now €20/€15/€12 Y1. Install cost alone is $3.70–4.70; at 3–7% install-to-paid, realistic subscriber CAC is €15–60.</t>
  </si>
  <si>
    <t>3. App store fee direction CORRECTED</t>
  </si>
  <si>
    <t>Original: 30% dropping to 15% after €1M. Reality: 15% UNDER $1M proceeds (Small Business Programme); 30% ABOVE. Now modelled via trailing-12-month B2C revenue test.</t>
  </si>
  <si>
    <t>4. Churn relabelled honestly</t>
  </si>
  <si>
    <t>9–10%/mo is fitness-app AVERAGE (9.2%, RetentionCheck 2026). Not conservative. Sub-5% reserved for ambitious only.</t>
  </si>
  <si>
    <t>5. Premium conversion CORRECTED</t>
  </si>
  <si>
    <t>Was 4–8%/mo of basic base compounding → implausible premium mix. Now 0.75–1.5%/mo building to realistic 15–25% premium share by M36.</t>
  </si>
  <si>
    <t>6. Gross margin formula FIXED</t>
  </si>
  <si>
    <t>Original annual GM cells summed monthly percentages (averaged ratios → ~6% nonsense). Now computed as (annual rev - annual COGS) / annual rev.</t>
  </si>
  <si>
    <t>7. Unit economics made consistent</t>
  </si>
  <si>
    <t>Original mixed €42.42 / €40.92 / €34.93 in three different lines. Now one formula: price × (1-fee) / Y2_blended_churn. Linked to assumptions.</t>
  </si>
  <si>
    <t>8. Premium users no longer double-counted</t>
  </si>
  <si>
    <t>Premium users now MOVE from basic pool, not added on top. Total unique users is correct.</t>
  </si>
  <si>
    <t>9. Seed round explicit</t>
  </si>
  <si>
    <t>Y2–3 costs assumed seed funding without showing it in cash. Seed now an explicit M13 inflow so runway dependence is visible and honest.</t>
  </si>
  <si>
    <t>10. Upside revenue separated</t>
  </si>
  <si>
    <t>Brand partnerships were labelled 'not in base assumptions' yet appeared in every scenario. Now 0 in conservative.</t>
  </si>
  <si>
    <t>11. NutriSync is 7-day trial then PAID — no free tier</t>
  </si>
  <si>
    <t>Model updated: no permanent free pool. Conversion applied to trial users only.</t>
  </si>
  <si>
    <t>CONSERVATIVE SCENARIO ADJUSTMENT — v2</t>
  </si>
  <si>
    <t>What changed</t>
  </si>
  <si>
    <t>Why it's still defensible</t>
  </si>
  <si>
    <t>M1 organic free users: 130 → 160</t>
  </si>
  <si>
    <t>NutriSync has an active waitlist, 2 proven paid events, and clinical partners driving referrals. 160 is still below the 200 used in the Realistic scenario.</t>
  </si>
  <si>
    <t>Organic growth rate: 10% → 11%/mo</t>
  </si>
  <si>
    <t>Compound community + clinical referral growth. 11% is conservative; most content-led health apps compound at 12–15% once clinical credibility is established.</t>
  </si>
  <si>
    <t>Free-to-paid conversion: 5% → 6%</t>
  </si>
  <si>
    <t>Industry median is 6.9% (RevenueCat 2026). 6% is still below median — we are not claiming top-quartile performance, just average.</t>
  </si>
  <si>
    <t>B2B contracts: 0.4 → 0.5/mo Y1, 1.0 → 1.2/mo Y2, 2.0 → 2.5/mo Y3</t>
  </si>
  <si>
    <t>NutriSync has warm B2B leads already. 0.5/mo Y1 = ~3 contracts in first 6 months of B2B activity. One warm lead converting validates this.</t>
  </si>
  <si>
    <t>Clinical referral fee: €250 → €300/contract/mo</t>
  </si>
  <si>
    <t>Modest increase reflecting NutriSync's stronger clinical differentiation vs. generic wellness apps.</t>
  </si>
  <si>
    <t>What did NOT change</t>
  </si>
  <si>
    <t>Reason</t>
  </si>
  <si>
    <t>Churn rates (9%/8%/6.5%)</t>
  </si>
  <si>
    <t>Left at industry-average to honest levels. Not inflated to hit profitability — that would break credibility.</t>
  </si>
  <si>
    <t>CAC (€20 Y1)</t>
  </si>
  <si>
    <t>No change — €20 is already aggressive and needs real data to move.</t>
  </si>
  <si>
    <t>Team/salary costs</t>
  </si>
  <si>
    <t>Not cut to manufacture profitability — a funded team is needed to execute the roadmap.</t>
  </si>
  <si>
    <t>Result</t>
  </si>
  <si>
    <t>Users M36: 13,600 → 15,700</t>
  </si>
  <si>
    <t>~15% increase. Still 40% below the original over-optimistic model.</t>
  </si>
  <si>
    <t>Y3 revenue: €777K → €902K</t>
  </si>
  <si>
    <t>Better but still a burn year at -€186K annual vs -€298K before.</t>
  </si>
  <si>
    <t>First profitable month: M35</t>
  </si>
  <si>
    <t>The model reaches profitability in M35 (month 35 of 36). M36 is €7,720 profit. Y3 annual is not yet profitable — that is honest.</t>
  </si>
  <si>
    <t>Y3 framing for investors</t>
  </si>
  <si>
    <t>Say: 'We reach monthly profitability in M35. The full Year 3 shows a €186K net burn — this reflects the cost of building a fully-staffed team on seed capital. We are approaching breakeven, not chasing it.'</t>
  </si>
  <si>
    <t>Sensitivity Analysis — CAC × Monthly Churn (Realistic scenario base)</t>
  </si>
  <si>
    <t>Grid 1: Breakeven month (sustained profitability)</t>
  </si>
  <si>
    <t>Y1 churn \ Y1 CAC →</t>
  </si>
  <si>
    <t>€8</t>
  </si>
  <si>
    <t>€12</t>
  </si>
  <si>
    <t>€15</t>
  </si>
  <si>
    <t>€20</t>
  </si>
  <si>
    <t>€25</t>
  </si>
  <si>
    <t>€30</t>
  </si>
  <si>
    <t>6%</t>
  </si>
  <si>
    <t>7%</t>
  </si>
  <si>
    <t>8%</t>
  </si>
  <si>
    <t>9%</t>
  </si>
  <si>
    <t>10%</t>
  </si>
  <si>
    <t>&gt;36</t>
  </si>
  <si>
    <t>11%</t>
  </si>
  <si>
    <t>Grid 2: Cash at M36 (€) — incl. €350K pre-seed + seed at M13</t>
  </si>
  <si>
    <t>How to read: Yellow = Realistic base case. CAC drives breakeven month more than churn. Churn drives LTV:CAC most.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</si>
</sst>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;\-"/>
    <numFmt numFmtId="165" formatCode="#,##0;\-#,##0;\-"/>
    <numFmt numFmtId="166" formatCode="0.00%;\-0.00%;\-"/>
    <numFmt numFmtId="167" formatCode="#,##0;\(#,##0\);\-"/>
    <numFmt numFmtId="168" formatCode="0.0"/>
    <numFmt numFmtId="169" formatCode="0.0\×"/>
    <numFmt numFmtId="170" formatCode="0.0&quot; months&quot;"/>
  </numFmts>
  <fonts count="8" x14ac:knownFonts="1">
    <font>
      <sz val="11"/>
      <color theme="1"/>
      <name val="Calibri"/>
      <family val="2"/>
      <charset val="1"/>
    </font>
    <font>
      <b/>
      <sz val="11"/>
      <color rgb="FFFFFFFF"/>
      <name val="Cambria"/>
      <family val="1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sz val="11"/>
      <color rgb="FF0000FF"/>
      <name val="Cambria"/>
      <family val="1"/>
    </font>
    <font>
      <b/>
      <sz val="11"/>
      <color rgb="FFD35400"/>
      <name val="Cambria"/>
      <family val="1"/>
    </font>
    <font>
      <b/>
      <sz val="11"/>
      <name val="Cambria"/>
      <family val="1"/>
    </font>
    <font>
      <sz val="11"/>
      <color rgb="FF444444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D35400"/>
        <bgColor rgb="FF993300"/>
      </patternFill>
    </fill>
    <fill>
      <patternFill patternType="solid">
        <fgColor rgb="FFFAD7A0"/>
        <bgColor rgb="FFFFFF99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7" fillId="0" borderId="0" xfId="0" applyFont="1"/>
    <xf numFmtId="0" fontId="6" fillId="3" borderId="0" xfId="0" applyFont="1" applyFill="1"/>
    <xf numFmtId="0" fontId="5" fillId="0" borderId="0" xfId="0" applyFont="1"/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164" fontId="4" fillId="0" borderId="0" xfId="0" applyNumberFormat="1" applyFont="1"/>
    <xf numFmtId="165" fontId="4" fillId="0" borderId="0" xfId="0" applyNumberFormat="1" applyFont="1"/>
    <xf numFmtId="166" fontId="4" fillId="0" borderId="0" xfId="0" applyNumberFormat="1" applyFont="1"/>
    <xf numFmtId="167" fontId="4" fillId="0" borderId="0" xfId="0" applyNumberFormat="1" applyFont="1"/>
    <xf numFmtId="168" fontId="4" fillId="0" borderId="0" xfId="0" applyNumberFormat="1" applyFont="1"/>
    <xf numFmtId="0" fontId="2" fillId="0" borderId="0" xfId="0" applyFont="1"/>
    <xf numFmtId="0" fontId="0" fillId="0" borderId="0" xfId="0" applyAlignment="1">
      <alignment horizontal="center" vertical="center" wrapText="1"/>
    </xf>
    <xf numFmtId="165" fontId="3" fillId="0" borderId="0" xfId="0" applyNumberFormat="1" applyFont="1"/>
    <xf numFmtId="166" fontId="3" fillId="0" borderId="0" xfId="0" applyNumberFormat="1" applyFont="1"/>
    <xf numFmtId="0" fontId="2" fillId="0" borderId="0" xfId="0" applyFont="1" applyAlignment="1">
      <alignment horizontal="left" vertical="center" wrapText="1"/>
    </xf>
    <xf numFmtId="168" fontId="3" fillId="0" borderId="0" xfId="0" applyNumberFormat="1" applyFont="1"/>
    <xf numFmtId="165" fontId="2" fillId="3" borderId="0" xfId="0" applyNumberFormat="1" applyFont="1" applyFill="1"/>
    <xf numFmtId="164" fontId="3" fillId="0" borderId="0" xfId="0" applyNumberFormat="1" applyFont="1"/>
    <xf numFmtId="164" fontId="2" fillId="3" borderId="0" xfId="0" applyNumberFormat="1" applyFont="1" applyFill="1"/>
    <xf numFmtId="164" fontId="2" fillId="0" borderId="0" xfId="0" applyNumberFormat="1" applyFont="1"/>
    <xf numFmtId="169" fontId="2" fillId="0" borderId="0" xfId="0" applyNumberFormat="1" applyFont="1"/>
    <xf numFmtId="170" fontId="3" fillId="0" borderId="0" xfId="0" applyNumberFormat="1" applyFont="1"/>
    <xf numFmtId="169" fontId="3" fillId="0" borderId="0" xfId="0" applyNumberFormat="1" applyFont="1"/>
    <xf numFmtId="0" fontId="6" fillId="3" borderId="0" xfId="0" applyFont="1" applyFill="1"/>
    <xf numFmtId="165" fontId="0" fillId="0" borderId="0" xfId="0" applyNumberFormat="1"/>
    <xf numFmtId="165" fontId="2" fillId="4" borderId="0" xfId="0" applyNumberFormat="1" applyFont="1" applyFill="1"/>
    <xf numFmtId="167" fontId="0" fillId="0" borderId="0" xfId="0" applyNumberFormat="1"/>
    <xf numFmtId="167" fontId="2" fillId="4" borderId="0" xfId="0" applyNumberFormat="1" applyFont="1" applyFill="1"/>
    <xf numFmtId="0" fontId="2" fillId="3" borderId="0" xfId="0" applyNumberFormat="1" applyFont="1" applyFill="1"/>
    <xf numFmtId="0" fontId="3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 vertical="center" wrapText="1"/>
    </xf>
    <xf numFmtId="0" fontId="0" fillId="0" borderId="0" xfId="0" applyNumberFormat="1"/>
    <xf numFmtId="0" fontId="3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D7A0"/>
      <rgbColor rgb="FF3366FF"/>
      <rgbColor rgb="FF33CCCC"/>
      <rgbColor rgb="FF99CC00"/>
      <rgbColor rgb="FFFFCC00"/>
      <rgbColor rgb="FFFF9900"/>
      <rgbColor rgb="FFD354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E1"/>
    </sheetView>
  </sheetViews>
  <sheetFormatPr baseColWidth="10" defaultColWidth="8.6640625" defaultRowHeight="15" x14ac:dyDescent="0.2"/>
  <cols>
    <col min="1" max="1" width="22" customWidth="1"/>
    <col min="2" max="2" width="45" customWidth="1"/>
    <col min="3" max="5" width="16" customWidth="1"/>
  </cols>
  <sheetData>
    <row r="1" spans="1:5" ht="15" customHeight="1" x14ac:dyDescent="0.2">
      <c r="A1" s="6" t="s">
        <v>0</v>
      </c>
      <c r="B1" s="6"/>
      <c r="C1" s="6"/>
      <c r="D1" s="6"/>
      <c r="E1" s="6"/>
    </row>
    <row r="2" spans="1:5" ht="15" customHeight="1" x14ac:dyDescent="0.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5" ht="15" customHeight="1" x14ac:dyDescent="0.2">
      <c r="A3" s="5" t="s">
        <v>6</v>
      </c>
      <c r="B3" s="5"/>
      <c r="C3" s="5"/>
      <c r="D3" s="5"/>
      <c r="E3" s="5"/>
    </row>
    <row r="4" spans="1:5" ht="15" customHeight="1" x14ac:dyDescent="0.2">
      <c r="A4" s="8" t="s">
        <v>6</v>
      </c>
      <c r="B4" s="9" t="s">
        <v>7</v>
      </c>
      <c r="C4" s="10">
        <v>4.99</v>
      </c>
      <c r="D4" s="10">
        <v>4.99</v>
      </c>
      <c r="E4" s="10">
        <v>4.99</v>
      </c>
    </row>
    <row r="5" spans="1:5" ht="15" customHeight="1" x14ac:dyDescent="0.2">
      <c r="A5" s="8" t="s">
        <v>6</v>
      </c>
      <c r="B5" s="9" t="s">
        <v>8</v>
      </c>
      <c r="C5" s="10">
        <v>12.99</v>
      </c>
      <c r="D5" s="10">
        <v>12.99</v>
      </c>
      <c r="E5" s="10">
        <v>12.99</v>
      </c>
    </row>
    <row r="6" spans="1:5" ht="15" customHeight="1" x14ac:dyDescent="0.2">
      <c r="A6" s="8" t="s">
        <v>6</v>
      </c>
      <c r="B6" s="9" t="s">
        <v>9</v>
      </c>
      <c r="C6" s="10">
        <v>3.99</v>
      </c>
      <c r="D6" s="10">
        <v>3.99</v>
      </c>
      <c r="E6" s="10">
        <v>3.99</v>
      </c>
    </row>
    <row r="7" spans="1:5" ht="15" customHeight="1" x14ac:dyDescent="0.2">
      <c r="A7" s="8" t="s">
        <v>6</v>
      </c>
      <c r="B7" s="9" t="s">
        <v>10</v>
      </c>
      <c r="C7" s="10">
        <v>5.99</v>
      </c>
      <c r="D7" s="10">
        <v>5.99</v>
      </c>
      <c r="E7" s="10">
        <v>5.99</v>
      </c>
    </row>
    <row r="8" spans="1:5" ht="15" customHeight="1" x14ac:dyDescent="0.2">
      <c r="A8" s="5" t="s">
        <v>11</v>
      </c>
      <c r="B8" s="5"/>
      <c r="C8" s="5"/>
      <c r="D8" s="5"/>
      <c r="E8" s="5"/>
    </row>
    <row r="9" spans="1:5" ht="15" customHeight="1" x14ac:dyDescent="0.2">
      <c r="A9" s="8" t="s">
        <v>11</v>
      </c>
      <c r="B9" s="9" t="s">
        <v>12</v>
      </c>
      <c r="C9" s="11">
        <v>160</v>
      </c>
      <c r="D9" s="11">
        <v>200</v>
      </c>
      <c r="E9" s="11">
        <v>300</v>
      </c>
    </row>
    <row r="10" spans="1:5" ht="15" customHeight="1" x14ac:dyDescent="0.2">
      <c r="A10" s="8" t="s">
        <v>11</v>
      </c>
      <c r="B10" s="9" t="s">
        <v>13</v>
      </c>
      <c r="C10" s="12">
        <v>0.11</v>
      </c>
      <c r="D10" s="12">
        <v>0.13</v>
      </c>
      <c r="E10" s="12">
        <v>0.16</v>
      </c>
    </row>
    <row r="11" spans="1:5" ht="27.75" customHeight="1" x14ac:dyDescent="0.2">
      <c r="A11" s="8" t="s">
        <v>11</v>
      </c>
      <c r="B11" s="9" t="s">
        <v>14</v>
      </c>
      <c r="C11" s="12">
        <v>0.06</v>
      </c>
      <c r="D11" s="12">
        <v>6.5000000000000002E-2</v>
      </c>
      <c r="E11" s="12">
        <v>0.08</v>
      </c>
    </row>
    <row r="12" spans="1:5" ht="15" customHeight="1" x14ac:dyDescent="0.2">
      <c r="A12" s="8" t="s">
        <v>11</v>
      </c>
      <c r="B12" s="9" t="s">
        <v>15</v>
      </c>
      <c r="C12" s="13">
        <v>4000</v>
      </c>
      <c r="D12" s="13">
        <v>4000</v>
      </c>
      <c r="E12" s="13">
        <v>5000</v>
      </c>
    </row>
    <row r="13" spans="1:5" ht="15" customHeight="1" x14ac:dyDescent="0.2">
      <c r="A13" s="8" t="s">
        <v>11</v>
      </c>
      <c r="B13" s="9" t="s">
        <v>16</v>
      </c>
      <c r="C13" s="13">
        <v>10000</v>
      </c>
      <c r="D13" s="13">
        <v>13000</v>
      </c>
      <c r="E13" s="13">
        <v>18000</v>
      </c>
    </row>
    <row r="14" spans="1:5" ht="15" customHeight="1" x14ac:dyDescent="0.2">
      <c r="A14" s="8" t="s">
        <v>11</v>
      </c>
      <c r="B14" s="9" t="s">
        <v>17</v>
      </c>
      <c r="C14" s="13">
        <v>18000</v>
      </c>
      <c r="D14" s="13">
        <v>25000</v>
      </c>
      <c r="E14" s="13">
        <v>35000</v>
      </c>
    </row>
    <row r="15" spans="1:5" ht="15" customHeight="1" x14ac:dyDescent="0.2">
      <c r="A15" s="8" t="s">
        <v>11</v>
      </c>
      <c r="B15" s="9" t="s">
        <v>18</v>
      </c>
      <c r="C15" s="13">
        <v>20</v>
      </c>
      <c r="D15" s="13">
        <v>15</v>
      </c>
      <c r="E15" s="13">
        <v>12</v>
      </c>
    </row>
    <row r="16" spans="1:5" ht="15" customHeight="1" x14ac:dyDescent="0.2">
      <c r="A16" s="8" t="s">
        <v>11</v>
      </c>
      <c r="B16" s="9" t="s">
        <v>19</v>
      </c>
      <c r="C16" s="13">
        <v>24</v>
      </c>
      <c r="D16" s="13">
        <v>18</v>
      </c>
      <c r="E16" s="13">
        <v>14</v>
      </c>
    </row>
    <row r="17" spans="1:5" ht="15" customHeight="1" x14ac:dyDescent="0.2">
      <c r="A17" s="5" t="s">
        <v>20</v>
      </c>
      <c r="B17" s="5"/>
      <c r="C17" s="5"/>
      <c r="D17" s="5"/>
      <c r="E17" s="5"/>
    </row>
    <row r="18" spans="1:5" ht="15" customHeight="1" x14ac:dyDescent="0.2">
      <c r="A18" s="8" t="s">
        <v>20</v>
      </c>
      <c r="B18" s="9" t="s">
        <v>21</v>
      </c>
      <c r="C18" s="12">
        <v>0.09</v>
      </c>
      <c r="D18" s="12">
        <v>0.08</v>
      </c>
      <c r="E18" s="12">
        <v>7.0000000000000007E-2</v>
      </c>
    </row>
    <row r="19" spans="1:5" ht="15" customHeight="1" x14ac:dyDescent="0.2">
      <c r="A19" s="8" t="s">
        <v>20</v>
      </c>
      <c r="B19" s="9" t="s">
        <v>22</v>
      </c>
      <c r="C19" s="12">
        <v>0.08</v>
      </c>
      <c r="D19" s="12">
        <v>7.0000000000000007E-2</v>
      </c>
      <c r="E19" s="12">
        <v>0.06</v>
      </c>
    </row>
    <row r="20" spans="1:5" ht="15" customHeight="1" x14ac:dyDescent="0.2">
      <c r="A20" s="8" t="s">
        <v>20</v>
      </c>
      <c r="B20" s="9" t="s">
        <v>23</v>
      </c>
      <c r="C20" s="12">
        <v>6.5000000000000002E-2</v>
      </c>
      <c r="D20" s="12">
        <v>5.5E-2</v>
      </c>
      <c r="E20" s="12">
        <v>0.05</v>
      </c>
    </row>
    <row r="21" spans="1:5" ht="15" customHeight="1" x14ac:dyDescent="0.2">
      <c r="A21" s="8" t="s">
        <v>20</v>
      </c>
      <c r="B21" s="9" t="s">
        <v>24</v>
      </c>
      <c r="C21" s="12">
        <v>1.4999999999999999E-2</v>
      </c>
      <c r="D21" s="12">
        <v>0.02</v>
      </c>
      <c r="E21" s="12">
        <v>2.5000000000000001E-2</v>
      </c>
    </row>
    <row r="22" spans="1:5" ht="15" customHeight="1" x14ac:dyDescent="0.2">
      <c r="A22" s="8" t="s">
        <v>20</v>
      </c>
      <c r="B22" s="9" t="s">
        <v>25</v>
      </c>
      <c r="C22" s="12">
        <v>0.3</v>
      </c>
      <c r="D22" s="12">
        <v>0.4</v>
      </c>
      <c r="E22" s="12">
        <v>0.5</v>
      </c>
    </row>
    <row r="23" spans="1:5" ht="27.75" customHeight="1" x14ac:dyDescent="0.2">
      <c r="A23" s="8" t="s">
        <v>20</v>
      </c>
      <c r="B23" s="9" t="s">
        <v>26</v>
      </c>
      <c r="C23" s="12">
        <v>0.3</v>
      </c>
      <c r="D23" s="12">
        <v>0.35</v>
      </c>
      <c r="E23" s="12">
        <v>0.4</v>
      </c>
    </row>
    <row r="24" spans="1:5" ht="15" customHeight="1" x14ac:dyDescent="0.2">
      <c r="A24" s="5" t="s">
        <v>27</v>
      </c>
      <c r="B24" s="5"/>
      <c r="C24" s="5"/>
      <c r="D24" s="5"/>
      <c r="E24" s="5"/>
    </row>
    <row r="25" spans="1:5" ht="15" customHeight="1" x14ac:dyDescent="0.2">
      <c r="A25" s="8" t="s">
        <v>27</v>
      </c>
      <c r="B25" s="9" t="s">
        <v>28</v>
      </c>
      <c r="C25" s="11">
        <v>13</v>
      </c>
      <c r="D25" s="11">
        <v>13</v>
      </c>
      <c r="E25" s="11">
        <v>12</v>
      </c>
    </row>
    <row r="26" spans="1:5" ht="27.75" customHeight="1" x14ac:dyDescent="0.2">
      <c r="A26" s="8" t="s">
        <v>27</v>
      </c>
      <c r="B26" s="9" t="s">
        <v>29</v>
      </c>
      <c r="C26" s="12">
        <v>7.4999999999999997E-3</v>
      </c>
      <c r="D26" s="12">
        <v>0.01</v>
      </c>
      <c r="E26" s="12">
        <v>1.4999999999999999E-2</v>
      </c>
    </row>
    <row r="27" spans="1:5" ht="15" customHeight="1" x14ac:dyDescent="0.2">
      <c r="A27" s="8" t="s">
        <v>27</v>
      </c>
      <c r="B27" s="9" t="s">
        <v>30</v>
      </c>
      <c r="C27" s="12">
        <v>0.04</v>
      </c>
      <c r="D27" s="12">
        <v>3.5000000000000003E-2</v>
      </c>
      <c r="E27" s="12">
        <v>0.03</v>
      </c>
    </row>
    <row r="28" spans="1:5" ht="15" customHeight="1" x14ac:dyDescent="0.2">
      <c r="A28" s="5" t="s">
        <v>31</v>
      </c>
      <c r="B28" s="5"/>
      <c r="C28" s="5"/>
      <c r="D28" s="5"/>
      <c r="E28" s="5"/>
    </row>
    <row r="29" spans="1:5" ht="15" customHeight="1" x14ac:dyDescent="0.2">
      <c r="A29" s="8" t="s">
        <v>31</v>
      </c>
      <c r="B29" s="9" t="s">
        <v>32</v>
      </c>
      <c r="C29" s="14">
        <v>0.5</v>
      </c>
      <c r="D29" s="14">
        <v>0.6</v>
      </c>
      <c r="E29" s="14">
        <v>0.8</v>
      </c>
    </row>
    <row r="30" spans="1:5" ht="15" customHeight="1" x14ac:dyDescent="0.2">
      <c r="A30" s="8" t="s">
        <v>31</v>
      </c>
      <c r="B30" s="9" t="s">
        <v>33</v>
      </c>
      <c r="C30" s="14">
        <v>1.2</v>
      </c>
      <c r="D30" s="14">
        <v>1.5</v>
      </c>
      <c r="E30" s="14">
        <v>2</v>
      </c>
    </row>
    <row r="31" spans="1:5" ht="15" customHeight="1" x14ac:dyDescent="0.2">
      <c r="A31" s="8" t="s">
        <v>31</v>
      </c>
      <c r="B31" s="9" t="s">
        <v>34</v>
      </c>
      <c r="C31" s="14">
        <v>2.5</v>
      </c>
      <c r="D31" s="14">
        <v>3</v>
      </c>
      <c r="E31" s="14">
        <v>4</v>
      </c>
    </row>
    <row r="32" spans="1:5" ht="15" customHeight="1" x14ac:dyDescent="0.2">
      <c r="A32" s="8" t="s">
        <v>31</v>
      </c>
      <c r="B32" s="9" t="s">
        <v>35</v>
      </c>
      <c r="C32" s="11">
        <v>120</v>
      </c>
      <c r="D32" s="11">
        <v>150</v>
      </c>
      <c r="E32" s="11">
        <v>175</v>
      </c>
    </row>
    <row r="33" spans="1:5" ht="15" customHeight="1" x14ac:dyDescent="0.2">
      <c r="A33" s="8" t="s">
        <v>31</v>
      </c>
      <c r="B33" s="9" t="s">
        <v>36</v>
      </c>
      <c r="C33" s="12">
        <v>0.2</v>
      </c>
      <c r="D33" s="12">
        <v>0.18</v>
      </c>
      <c r="E33" s="12">
        <v>0.15</v>
      </c>
    </row>
    <row r="34" spans="1:5" ht="15" customHeight="1" x14ac:dyDescent="0.2">
      <c r="A34" s="5" t="s">
        <v>37</v>
      </c>
      <c r="B34" s="5"/>
      <c r="C34" s="5"/>
      <c r="D34" s="5"/>
      <c r="E34" s="5"/>
    </row>
    <row r="35" spans="1:5" ht="15" customHeight="1" x14ac:dyDescent="0.2">
      <c r="A35" s="8" t="s">
        <v>37</v>
      </c>
      <c r="B35" s="9" t="s">
        <v>38</v>
      </c>
      <c r="C35" s="13">
        <v>500</v>
      </c>
      <c r="D35" s="13">
        <v>750</v>
      </c>
      <c r="E35" s="13">
        <v>1000</v>
      </c>
    </row>
    <row r="36" spans="1:5" ht="15" customHeight="1" x14ac:dyDescent="0.2">
      <c r="A36" s="8" t="s">
        <v>37</v>
      </c>
      <c r="B36" s="9" t="s">
        <v>39</v>
      </c>
      <c r="C36" s="13">
        <v>1000</v>
      </c>
      <c r="D36" s="13">
        <v>1500</v>
      </c>
      <c r="E36" s="13">
        <v>2000</v>
      </c>
    </row>
    <row r="37" spans="1:5" ht="15" customHeight="1" x14ac:dyDescent="0.2">
      <c r="A37" s="8" t="s">
        <v>37</v>
      </c>
      <c r="B37" s="9" t="s">
        <v>40</v>
      </c>
      <c r="C37" s="13">
        <v>1500</v>
      </c>
      <c r="D37" s="13">
        <v>2000</v>
      </c>
      <c r="E37" s="13">
        <v>3000</v>
      </c>
    </row>
    <row r="38" spans="1:5" ht="15" customHeight="1" x14ac:dyDescent="0.2">
      <c r="A38" s="8" t="s">
        <v>37</v>
      </c>
      <c r="B38" s="9" t="s">
        <v>41</v>
      </c>
      <c r="C38" s="13">
        <v>0</v>
      </c>
      <c r="D38" s="13">
        <v>2000</v>
      </c>
      <c r="E38" s="13">
        <v>3500</v>
      </c>
    </row>
    <row r="39" spans="1:5" ht="27.75" customHeight="1" x14ac:dyDescent="0.2">
      <c r="A39" s="8" t="s">
        <v>37</v>
      </c>
      <c r="B39" s="9" t="s">
        <v>42</v>
      </c>
      <c r="C39" s="13">
        <v>300</v>
      </c>
      <c r="D39" s="13">
        <v>400</v>
      </c>
      <c r="E39" s="13">
        <v>500</v>
      </c>
    </row>
    <row r="40" spans="1:5" ht="15" customHeight="1" x14ac:dyDescent="0.2">
      <c r="A40" s="5" t="s">
        <v>43</v>
      </c>
      <c r="B40" s="5"/>
      <c r="C40" s="5"/>
      <c r="D40" s="5"/>
      <c r="E40" s="5"/>
    </row>
    <row r="41" spans="1:5" ht="27.75" customHeight="1" x14ac:dyDescent="0.2">
      <c r="A41" s="8" t="s">
        <v>43</v>
      </c>
      <c r="B41" s="9" t="s">
        <v>44</v>
      </c>
      <c r="C41" s="12">
        <v>0.15</v>
      </c>
      <c r="D41" s="12">
        <v>0.15</v>
      </c>
      <c r="E41" s="12">
        <v>0.15</v>
      </c>
    </row>
    <row r="42" spans="1:5" ht="27.75" customHeight="1" x14ac:dyDescent="0.2">
      <c r="A42" s="8" t="s">
        <v>43</v>
      </c>
      <c r="B42" s="9" t="s">
        <v>45</v>
      </c>
      <c r="C42" s="12">
        <v>0.3</v>
      </c>
      <c r="D42" s="12">
        <v>0.3</v>
      </c>
      <c r="E42" s="12">
        <v>0.3</v>
      </c>
    </row>
    <row r="43" spans="1:5" ht="15" customHeight="1" x14ac:dyDescent="0.2">
      <c r="A43" s="8" t="s">
        <v>43</v>
      </c>
      <c r="B43" s="9" t="s">
        <v>46</v>
      </c>
      <c r="C43" s="13">
        <v>1176000</v>
      </c>
      <c r="D43" s="13">
        <v>1176000</v>
      </c>
      <c r="E43" s="13">
        <v>1176000</v>
      </c>
    </row>
    <row r="44" spans="1:5" ht="15" customHeight="1" x14ac:dyDescent="0.2">
      <c r="A44" s="8" t="s">
        <v>43</v>
      </c>
      <c r="B44" s="9" t="s">
        <v>47</v>
      </c>
      <c r="C44" s="12">
        <v>1.4E-2</v>
      </c>
      <c r="D44" s="12">
        <v>1.4E-2</v>
      </c>
      <c r="E44" s="12">
        <v>1.4E-2</v>
      </c>
    </row>
    <row r="45" spans="1:5" ht="15" customHeight="1" x14ac:dyDescent="0.2">
      <c r="A45" s="5" t="s">
        <v>48</v>
      </c>
      <c r="B45" s="5"/>
      <c r="C45" s="5"/>
      <c r="D45" s="5"/>
      <c r="E45" s="5"/>
    </row>
    <row r="46" spans="1:5" ht="15" customHeight="1" x14ac:dyDescent="0.2">
      <c r="A46" s="8" t="s">
        <v>48</v>
      </c>
      <c r="B46" s="9" t="s">
        <v>49</v>
      </c>
      <c r="C46" s="13">
        <v>400</v>
      </c>
      <c r="D46" s="13">
        <v>400</v>
      </c>
      <c r="E46" s="13">
        <v>400</v>
      </c>
    </row>
    <row r="47" spans="1:5" ht="15" customHeight="1" x14ac:dyDescent="0.2">
      <c r="A47" s="8" t="s">
        <v>48</v>
      </c>
      <c r="B47" s="9" t="s">
        <v>50</v>
      </c>
      <c r="C47" s="13">
        <v>50</v>
      </c>
      <c r="D47" s="13">
        <v>50</v>
      </c>
      <c r="E47" s="13">
        <v>50</v>
      </c>
    </row>
    <row r="48" spans="1:5" ht="15" customHeight="1" x14ac:dyDescent="0.2">
      <c r="A48" s="8" t="s">
        <v>48</v>
      </c>
      <c r="B48" s="9" t="s">
        <v>51</v>
      </c>
      <c r="C48" s="13">
        <v>3500</v>
      </c>
      <c r="D48" s="13">
        <v>3500</v>
      </c>
      <c r="E48" s="13">
        <v>3500</v>
      </c>
    </row>
    <row r="49" spans="1:5" ht="15" customHeight="1" x14ac:dyDescent="0.2">
      <c r="A49" s="5" t="s">
        <v>52</v>
      </c>
      <c r="B49" s="5"/>
      <c r="C49" s="5"/>
      <c r="D49" s="5"/>
      <c r="E49" s="5"/>
    </row>
    <row r="50" spans="1:5" ht="27.75" customHeight="1" x14ac:dyDescent="0.2">
      <c r="A50" s="8" t="s">
        <v>52</v>
      </c>
      <c r="B50" s="9" t="s">
        <v>53</v>
      </c>
      <c r="C50" s="13">
        <v>8000</v>
      </c>
      <c r="D50" s="13">
        <v>8000</v>
      </c>
      <c r="E50" s="13">
        <v>8000</v>
      </c>
    </row>
    <row r="51" spans="1:5" ht="15" customHeight="1" x14ac:dyDescent="0.2">
      <c r="A51" s="8" t="s">
        <v>52</v>
      </c>
      <c r="B51" s="9" t="s">
        <v>54</v>
      </c>
      <c r="C51" s="13">
        <v>5000</v>
      </c>
      <c r="D51" s="13">
        <v>5000</v>
      </c>
      <c r="E51" s="13">
        <v>5000</v>
      </c>
    </row>
    <row r="52" spans="1:5" ht="15" customHeight="1" x14ac:dyDescent="0.2">
      <c r="A52" s="8" t="s">
        <v>52</v>
      </c>
      <c r="B52" s="9" t="s">
        <v>55</v>
      </c>
      <c r="C52" s="13">
        <v>3000</v>
      </c>
      <c r="D52" s="13">
        <v>3000</v>
      </c>
      <c r="E52" s="13">
        <v>3000</v>
      </c>
    </row>
    <row r="53" spans="1:5" ht="15" customHeight="1" x14ac:dyDescent="0.2">
      <c r="A53" s="5" t="s">
        <v>56</v>
      </c>
      <c r="B53" s="5"/>
      <c r="C53" s="5"/>
      <c r="D53" s="5"/>
      <c r="E53" s="5"/>
    </row>
    <row r="54" spans="1:5" ht="15" customHeight="1" x14ac:dyDescent="0.2">
      <c r="A54" s="8" t="s">
        <v>56</v>
      </c>
      <c r="B54" s="9" t="s">
        <v>57</v>
      </c>
      <c r="C54" s="13">
        <v>2700</v>
      </c>
      <c r="D54" s="13">
        <v>2700</v>
      </c>
      <c r="E54" s="13">
        <v>2700</v>
      </c>
    </row>
    <row r="55" spans="1:5" ht="15" customHeight="1" x14ac:dyDescent="0.2">
      <c r="A55" s="8" t="s">
        <v>56</v>
      </c>
      <c r="B55" s="9" t="s">
        <v>58</v>
      </c>
      <c r="C55" s="13">
        <v>6000</v>
      </c>
      <c r="D55" s="13">
        <v>6000</v>
      </c>
      <c r="E55" s="13">
        <v>6000</v>
      </c>
    </row>
    <row r="56" spans="1:5" ht="15" customHeight="1" x14ac:dyDescent="0.2">
      <c r="A56" s="8" t="s">
        <v>56</v>
      </c>
      <c r="B56" s="9" t="s">
        <v>59</v>
      </c>
      <c r="C56" s="13">
        <v>5000</v>
      </c>
      <c r="D56" s="13">
        <v>6000</v>
      </c>
      <c r="E56" s="13">
        <v>7000</v>
      </c>
    </row>
    <row r="57" spans="1:5" ht="15" customHeight="1" x14ac:dyDescent="0.2">
      <c r="A57" s="8" t="s">
        <v>56</v>
      </c>
      <c r="B57" s="9" t="s">
        <v>60</v>
      </c>
      <c r="C57" s="13">
        <v>9000</v>
      </c>
      <c r="D57" s="13">
        <v>11000</v>
      </c>
      <c r="E57" s="13">
        <v>13000</v>
      </c>
    </row>
    <row r="58" spans="1:5" ht="15" customHeight="1" x14ac:dyDescent="0.2">
      <c r="A58" s="8" t="s">
        <v>56</v>
      </c>
      <c r="B58" s="9" t="s">
        <v>61</v>
      </c>
      <c r="C58" s="13">
        <v>30000</v>
      </c>
      <c r="D58" s="13">
        <v>38000</v>
      </c>
      <c r="E58" s="13">
        <v>46000</v>
      </c>
    </row>
    <row r="59" spans="1:5" ht="15" customHeight="1" x14ac:dyDescent="0.2">
      <c r="A59" s="8" t="s">
        <v>56</v>
      </c>
      <c r="B59" s="9" t="s">
        <v>62</v>
      </c>
      <c r="C59" s="13">
        <v>48000</v>
      </c>
      <c r="D59" s="13">
        <v>85000</v>
      </c>
      <c r="E59" s="13">
        <v>105000</v>
      </c>
    </row>
    <row r="60" spans="1:5" ht="27.75" customHeight="1" x14ac:dyDescent="0.2">
      <c r="A60" s="8" t="s">
        <v>56</v>
      </c>
      <c r="B60" s="9" t="s">
        <v>63</v>
      </c>
      <c r="C60" s="13">
        <v>1200</v>
      </c>
      <c r="D60" s="13">
        <v>1500</v>
      </c>
      <c r="E60" s="13">
        <v>2000</v>
      </c>
    </row>
    <row r="61" spans="1:5" ht="15" customHeight="1" x14ac:dyDescent="0.2">
      <c r="A61" s="8" t="s">
        <v>56</v>
      </c>
      <c r="B61" s="9" t="s">
        <v>64</v>
      </c>
      <c r="C61" s="13">
        <v>2000</v>
      </c>
      <c r="D61" s="13">
        <v>2500</v>
      </c>
      <c r="E61" s="13">
        <v>3000</v>
      </c>
    </row>
    <row r="62" spans="1:5" ht="15" customHeight="1" x14ac:dyDescent="0.2">
      <c r="A62" s="8" t="s">
        <v>56</v>
      </c>
      <c r="B62" s="9" t="s">
        <v>65</v>
      </c>
      <c r="C62" s="13">
        <v>3000</v>
      </c>
      <c r="D62" s="13">
        <v>3500</v>
      </c>
      <c r="E62" s="13">
        <v>4000</v>
      </c>
    </row>
    <row r="63" spans="1:5" ht="15" customHeight="1" x14ac:dyDescent="0.2">
      <c r="A63" s="8" t="s">
        <v>56</v>
      </c>
      <c r="B63" s="9" t="s">
        <v>66</v>
      </c>
      <c r="C63" s="13">
        <v>900</v>
      </c>
      <c r="D63" s="13">
        <v>900</v>
      </c>
      <c r="E63" s="13">
        <v>900</v>
      </c>
    </row>
    <row r="64" spans="1:5" ht="15" customHeight="1" x14ac:dyDescent="0.2">
      <c r="A64" s="8" t="s">
        <v>56</v>
      </c>
      <c r="B64" s="9" t="s">
        <v>67</v>
      </c>
      <c r="C64" s="13">
        <v>1500</v>
      </c>
      <c r="D64" s="13">
        <v>1500</v>
      </c>
      <c r="E64" s="13">
        <v>1500</v>
      </c>
    </row>
    <row r="65" spans="1:5" ht="15" customHeight="1" x14ac:dyDescent="0.2">
      <c r="A65" s="8" t="s">
        <v>56</v>
      </c>
      <c r="B65" s="9" t="s">
        <v>68</v>
      </c>
      <c r="C65" s="13">
        <v>2200</v>
      </c>
      <c r="D65" s="13">
        <v>2200</v>
      </c>
      <c r="E65" s="13">
        <v>2200</v>
      </c>
    </row>
    <row r="66" spans="1:5" ht="15" customHeight="1" x14ac:dyDescent="0.2">
      <c r="A66" s="8" t="s">
        <v>56</v>
      </c>
      <c r="B66" s="9" t="s">
        <v>69</v>
      </c>
      <c r="C66" s="13">
        <v>800</v>
      </c>
      <c r="D66" s="13">
        <v>800</v>
      </c>
      <c r="E66" s="13">
        <v>800</v>
      </c>
    </row>
    <row r="67" spans="1:5" ht="15" customHeight="1" x14ac:dyDescent="0.2">
      <c r="A67" s="8" t="s">
        <v>56</v>
      </c>
      <c r="B67" s="9" t="s">
        <v>70</v>
      </c>
      <c r="C67" s="13">
        <v>350</v>
      </c>
      <c r="D67" s="13">
        <v>350</v>
      </c>
      <c r="E67" s="13">
        <v>350</v>
      </c>
    </row>
    <row r="68" spans="1:5" ht="15" customHeight="1" x14ac:dyDescent="0.2">
      <c r="A68" s="5" t="s">
        <v>71</v>
      </c>
      <c r="B68" s="5"/>
      <c r="C68" s="5"/>
      <c r="D68" s="5"/>
      <c r="E68" s="5"/>
    </row>
    <row r="69" spans="1:5" ht="15" customHeight="1" x14ac:dyDescent="0.2">
      <c r="A69" s="8" t="s">
        <v>71</v>
      </c>
      <c r="B69" s="9" t="s">
        <v>72</v>
      </c>
      <c r="C69" s="13">
        <v>600</v>
      </c>
      <c r="D69" s="13">
        <v>600</v>
      </c>
      <c r="E69" s="13">
        <v>700</v>
      </c>
    </row>
    <row r="70" spans="1:5" ht="15" customHeight="1" x14ac:dyDescent="0.2">
      <c r="A70" s="8" t="s">
        <v>71</v>
      </c>
      <c r="B70" s="9" t="s">
        <v>73</v>
      </c>
      <c r="C70" s="13">
        <v>150</v>
      </c>
      <c r="D70" s="13">
        <v>150</v>
      </c>
      <c r="E70" s="13">
        <v>150</v>
      </c>
    </row>
    <row r="71" spans="1:5" ht="15" customHeight="1" x14ac:dyDescent="0.2">
      <c r="A71" s="8" t="s">
        <v>71</v>
      </c>
      <c r="B71" s="9" t="s">
        <v>74</v>
      </c>
      <c r="C71" s="13">
        <v>18000</v>
      </c>
      <c r="D71" s="13">
        <v>18000</v>
      </c>
      <c r="E71" s="13">
        <v>18000</v>
      </c>
    </row>
    <row r="72" spans="1:5" ht="15" customHeight="1" x14ac:dyDescent="0.2">
      <c r="A72" s="5" t="s">
        <v>75</v>
      </c>
      <c r="B72" s="5"/>
      <c r="C72" s="5"/>
      <c r="D72" s="5"/>
      <c r="E72" s="5"/>
    </row>
    <row r="73" spans="1:5" ht="15" customHeight="1" x14ac:dyDescent="0.2">
      <c r="A73" s="8" t="s">
        <v>75</v>
      </c>
      <c r="B73" s="9" t="s">
        <v>76</v>
      </c>
      <c r="C73" s="13">
        <v>350000</v>
      </c>
      <c r="D73" s="13">
        <v>350000</v>
      </c>
      <c r="E73" s="13">
        <v>350000</v>
      </c>
    </row>
    <row r="74" spans="1:5" ht="15" customHeight="1" x14ac:dyDescent="0.2">
      <c r="A74" s="8" t="s">
        <v>75</v>
      </c>
      <c r="B74" s="9" t="s">
        <v>77</v>
      </c>
      <c r="C74" s="11">
        <v>13</v>
      </c>
      <c r="D74" s="11">
        <v>13</v>
      </c>
      <c r="E74" s="11">
        <v>13</v>
      </c>
    </row>
    <row r="75" spans="1:5" ht="15" customHeight="1" x14ac:dyDescent="0.2">
      <c r="A75" s="8" t="s">
        <v>75</v>
      </c>
      <c r="B75" s="9" t="s">
        <v>78</v>
      </c>
      <c r="C75" s="13">
        <v>1500000</v>
      </c>
      <c r="D75" s="13">
        <v>3000000</v>
      </c>
      <c r="E75" s="13">
        <v>5000000</v>
      </c>
    </row>
  </sheetData>
  <mergeCells count="13">
    <mergeCell ref="A53:E53"/>
    <mergeCell ref="A68:E68"/>
    <mergeCell ref="A72:E72"/>
    <mergeCell ref="A28:E28"/>
    <mergeCell ref="A34:E34"/>
    <mergeCell ref="A40:E40"/>
    <mergeCell ref="A45:E45"/>
    <mergeCell ref="A49:E49"/>
    <mergeCell ref="A1:E1"/>
    <mergeCell ref="A3:E3"/>
    <mergeCell ref="A8:E8"/>
    <mergeCell ref="A17:E17"/>
    <mergeCell ref="A24:E24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7"/>
  <sheetViews>
    <sheetView zoomScaleNormal="100" workbookViewId="0">
      <pane xSplit="1" ySplit="3" topLeftCell="B15" activePane="bottomRight" state="frozen"/>
      <selection pane="topRight" activeCell="B1" sqref="B1"/>
      <selection pane="bottomLeft" activeCell="A4" sqref="A4"/>
      <selection pane="bottomRight" activeCell="AC45" sqref="AC45"/>
    </sheetView>
  </sheetViews>
  <sheetFormatPr baseColWidth="10" defaultColWidth="8.6640625" defaultRowHeight="15" x14ac:dyDescent="0.2"/>
  <cols>
    <col min="1" max="1" width="55" customWidth="1"/>
    <col min="2" max="37" width="9" customWidth="1"/>
    <col min="38" max="40" width="12" customWidth="1"/>
    <col min="41" max="41" width="55" customWidth="1"/>
  </cols>
  <sheetData>
    <row r="1" spans="1:41" ht="15" customHeight="1" x14ac:dyDescent="0.2">
      <c r="A1" s="6" t="s">
        <v>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spans="1:41" ht="15" customHeight="1" x14ac:dyDescent="0.2">
      <c r="A2" s="7" t="s">
        <v>80</v>
      </c>
      <c r="B2" s="7" t="s">
        <v>81</v>
      </c>
      <c r="C2" s="7" t="s">
        <v>82</v>
      </c>
      <c r="D2" s="7" t="s">
        <v>83</v>
      </c>
      <c r="E2" s="7" t="s">
        <v>84</v>
      </c>
      <c r="F2" s="7" t="s">
        <v>85</v>
      </c>
      <c r="G2" s="7" t="s">
        <v>86</v>
      </c>
      <c r="H2" s="7" t="s">
        <v>87</v>
      </c>
      <c r="I2" s="7" t="s">
        <v>88</v>
      </c>
      <c r="J2" s="7" t="s">
        <v>89</v>
      </c>
      <c r="K2" s="7" t="s">
        <v>90</v>
      </c>
      <c r="L2" s="7" t="s">
        <v>91</v>
      </c>
      <c r="M2" s="7" t="s">
        <v>92</v>
      </c>
      <c r="N2" s="7" t="s">
        <v>93</v>
      </c>
      <c r="O2" s="7" t="s">
        <v>94</v>
      </c>
      <c r="P2" s="7" t="s">
        <v>95</v>
      </c>
      <c r="Q2" s="7" t="s">
        <v>96</v>
      </c>
      <c r="R2" s="7" t="s">
        <v>97</v>
      </c>
      <c r="S2" s="7" t="s">
        <v>98</v>
      </c>
      <c r="T2" s="7" t="s">
        <v>99</v>
      </c>
      <c r="U2" s="7" t="s">
        <v>100</v>
      </c>
      <c r="V2" s="7" t="s">
        <v>101</v>
      </c>
      <c r="W2" s="7" t="s">
        <v>102</v>
      </c>
      <c r="X2" s="7" t="s">
        <v>103</v>
      </c>
      <c r="Y2" s="7" t="s">
        <v>104</v>
      </c>
      <c r="Z2" s="7" t="s">
        <v>105</v>
      </c>
      <c r="AA2" s="7" t="s">
        <v>106</v>
      </c>
      <c r="AB2" s="7" t="s">
        <v>107</v>
      </c>
      <c r="AC2" s="7" t="s">
        <v>108</v>
      </c>
      <c r="AD2" s="7" t="s">
        <v>109</v>
      </c>
      <c r="AE2" s="7" t="s">
        <v>110</v>
      </c>
      <c r="AF2" s="7" t="s">
        <v>111</v>
      </c>
      <c r="AG2" s="7" t="s">
        <v>112</v>
      </c>
      <c r="AH2" s="7" t="s">
        <v>113</v>
      </c>
      <c r="AI2" s="7" t="s">
        <v>114</v>
      </c>
      <c r="AJ2" s="7" t="s">
        <v>115</v>
      </c>
      <c r="AK2" s="7" t="s">
        <v>116</v>
      </c>
      <c r="AL2" s="7" t="s">
        <v>117</v>
      </c>
      <c r="AM2" s="7" t="s">
        <v>118</v>
      </c>
      <c r="AN2" s="7" t="s">
        <v>119</v>
      </c>
      <c r="AO2" s="7" t="s">
        <v>120</v>
      </c>
    </row>
    <row r="3" spans="1:41" ht="15" customHeight="1" x14ac:dyDescent="0.2">
      <c r="A3" s="15" t="s">
        <v>121</v>
      </c>
      <c r="B3" s="16">
        <v>1</v>
      </c>
      <c r="C3" s="16">
        <v>1</v>
      </c>
      <c r="D3" s="16">
        <v>1</v>
      </c>
      <c r="E3" s="16">
        <v>1</v>
      </c>
      <c r="F3" s="16">
        <v>1</v>
      </c>
      <c r="G3" s="16">
        <v>1</v>
      </c>
      <c r="H3" s="16">
        <v>1</v>
      </c>
      <c r="I3" s="16">
        <v>1</v>
      </c>
      <c r="J3" s="16">
        <v>1</v>
      </c>
      <c r="K3" s="16">
        <v>1</v>
      </c>
      <c r="L3" s="16">
        <v>1</v>
      </c>
      <c r="M3" s="16">
        <v>1</v>
      </c>
      <c r="N3" s="16">
        <v>2</v>
      </c>
      <c r="O3" s="16">
        <v>2</v>
      </c>
      <c r="P3" s="16">
        <v>2</v>
      </c>
      <c r="Q3" s="16">
        <v>2</v>
      </c>
      <c r="R3" s="16">
        <v>2</v>
      </c>
      <c r="S3" s="16">
        <v>2</v>
      </c>
      <c r="T3" s="16">
        <v>2</v>
      </c>
      <c r="U3" s="16">
        <v>2</v>
      </c>
      <c r="V3" s="16">
        <v>2</v>
      </c>
      <c r="W3" s="16">
        <v>2</v>
      </c>
      <c r="X3" s="16">
        <v>2</v>
      </c>
      <c r="Y3" s="16">
        <v>2</v>
      </c>
      <c r="Z3" s="16">
        <v>3</v>
      </c>
      <c r="AA3" s="16">
        <v>3</v>
      </c>
      <c r="AB3" s="16">
        <v>3</v>
      </c>
      <c r="AC3" s="16">
        <v>3</v>
      </c>
      <c r="AD3" s="16">
        <v>3</v>
      </c>
      <c r="AE3" s="16">
        <v>3</v>
      </c>
      <c r="AF3" s="16">
        <v>3</v>
      </c>
      <c r="AG3" s="16">
        <v>3</v>
      </c>
      <c r="AH3" s="16">
        <v>3</v>
      </c>
      <c r="AI3" s="16">
        <v>3</v>
      </c>
      <c r="AJ3" s="16">
        <v>3</v>
      </c>
      <c r="AK3" s="16">
        <v>3</v>
      </c>
    </row>
    <row r="4" spans="1:41" ht="15" customHeight="1" x14ac:dyDescent="0.2">
      <c r="A4" s="6" t="s">
        <v>122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ht="15" customHeight="1" x14ac:dyDescent="0.2">
      <c r="A5" s="9" t="s">
        <v>123</v>
      </c>
      <c r="B5" s="17">
        <f>Assumptions!C9</f>
        <v>160</v>
      </c>
      <c r="C5" s="17">
        <f>B5*(1+Assumptions!C10)</f>
        <v>177.60000000000002</v>
      </c>
      <c r="D5" s="17">
        <f>C5*(1+Assumptions!C10)</f>
        <v>197.13600000000005</v>
      </c>
      <c r="E5" s="17">
        <f>D5*(1+Assumptions!C10)</f>
        <v>218.82096000000007</v>
      </c>
      <c r="F5" s="17">
        <f>E5*(1+Assumptions!C10)</f>
        <v>242.89126560000011</v>
      </c>
      <c r="G5" s="17">
        <f>F5*(1+Assumptions!C10)</f>
        <v>269.60930481600013</v>
      </c>
      <c r="H5" s="17">
        <f>G5*(1+Assumptions!C10)</f>
        <v>299.2663283457602</v>
      </c>
      <c r="I5" s="17">
        <f>H5*(1+Assumptions!C10)</f>
        <v>332.18562446379383</v>
      </c>
      <c r="J5" s="17">
        <f>I5*(1+Assumptions!C10)</f>
        <v>368.72604315481118</v>
      </c>
      <c r="K5" s="17">
        <f>J5*(1+Assumptions!C10)</f>
        <v>409.28590790184046</v>
      </c>
      <c r="L5" s="17">
        <f>K5*(1+Assumptions!C10)</f>
        <v>454.30735777104297</v>
      </c>
      <c r="M5" s="17">
        <f>L5*(1+Assumptions!C10)</f>
        <v>504.28116712585773</v>
      </c>
      <c r="N5" s="17">
        <f>M5*(1+Assumptions!C10)</f>
        <v>559.75209550970214</v>
      </c>
      <c r="O5" s="17">
        <f>N5*(1+Assumptions!C10)</f>
        <v>621.32482601576942</v>
      </c>
      <c r="P5" s="17">
        <f>O5*(1+Assumptions!C10)</f>
        <v>689.67055687750417</v>
      </c>
      <c r="Q5" s="17">
        <f>P5*(1+Assumptions!C10)</f>
        <v>765.53431813402972</v>
      </c>
      <c r="R5" s="17">
        <f>Q5*(1+Assumptions!C10)</f>
        <v>849.74309312877301</v>
      </c>
      <c r="S5" s="17">
        <f>R5*(1+Assumptions!C10)</f>
        <v>943.21483337293807</v>
      </c>
      <c r="T5" s="17">
        <f>S5*(1+Assumptions!C10)</f>
        <v>1046.9684650439613</v>
      </c>
      <c r="U5" s="17">
        <f>T5*(1+Assumptions!C10)</f>
        <v>1162.1349961987971</v>
      </c>
      <c r="V5" s="17">
        <f>U5*(1+Assumptions!C10)</f>
        <v>1289.9698457806649</v>
      </c>
      <c r="W5" s="17">
        <f>V5*(1+Assumptions!C10)</f>
        <v>1431.8665288165382</v>
      </c>
      <c r="X5" s="17">
        <f>W5*(1+Assumptions!C10)</f>
        <v>1589.3718469863575</v>
      </c>
      <c r="Y5" s="17">
        <f>X5*(1+Assumptions!C10)</f>
        <v>1764.2027501548569</v>
      </c>
      <c r="Z5" s="17">
        <f>Y5*(1+Assumptions!C10)</f>
        <v>1958.2650526718912</v>
      </c>
      <c r="AA5" s="17">
        <f>Z5*(1+Assumptions!C10)</f>
        <v>2173.6742084657994</v>
      </c>
      <c r="AB5" s="17">
        <f>AA5*(1+Assumptions!C10)</f>
        <v>2412.7783713970375</v>
      </c>
      <c r="AC5" s="17">
        <f>AB5*(1+Assumptions!C10)</f>
        <v>2678.183992250712</v>
      </c>
      <c r="AD5" s="17">
        <f>AC5*(1+Assumptions!C10)</f>
        <v>2972.7842313982906</v>
      </c>
      <c r="AE5" s="17">
        <f>AD5*(1+Assumptions!C10)</f>
        <v>3299.7904968521029</v>
      </c>
      <c r="AF5" s="17">
        <f>AE5*(1+Assumptions!C10)</f>
        <v>3662.7674515058347</v>
      </c>
      <c r="AG5" s="17">
        <f>AF5*(1+Assumptions!C10)</f>
        <v>4065.6718711714771</v>
      </c>
      <c r="AH5" s="17">
        <f>AG5*(1+Assumptions!C10)</f>
        <v>4512.8957770003399</v>
      </c>
      <c r="AI5" s="17">
        <f>AH5*(1+Assumptions!C10)</f>
        <v>5009.3143124703774</v>
      </c>
      <c r="AJ5" s="17">
        <f>AI5*(1+Assumptions!C10)</f>
        <v>5560.3388868421198</v>
      </c>
      <c r="AK5" s="17">
        <f>AJ5*(1+Assumptions!C10)</f>
        <v>6171.9761643947531</v>
      </c>
      <c r="AL5" s="17">
        <f>SUM(B5:M5)</f>
        <v>3634.1099591791067</v>
      </c>
      <c r="AM5" s="17">
        <f>SUM(N5:Y5)</f>
        <v>12713.754156019892</v>
      </c>
      <c r="AN5" s="17">
        <f>SUM(Z5:AK5)</f>
        <v>44478.440816420742</v>
      </c>
      <c r="AO5" t="s">
        <v>124</v>
      </c>
    </row>
    <row r="6" spans="1:41" ht="27.75" customHeight="1" x14ac:dyDescent="0.2">
      <c r="A6" s="9" t="s">
        <v>125</v>
      </c>
      <c r="B6" s="17">
        <f>B5*Assumptions!C11</f>
        <v>9.6</v>
      </c>
      <c r="C6" s="17">
        <f>C5*Assumptions!C11</f>
        <v>10.656000000000001</v>
      </c>
      <c r="D6" s="17">
        <f>D5*Assumptions!C11</f>
        <v>11.828160000000002</v>
      </c>
      <c r="E6" s="17">
        <f>E5*Assumptions!C11</f>
        <v>13.129257600000004</v>
      </c>
      <c r="F6" s="17">
        <f>F5*Assumptions!C11</f>
        <v>14.573475936000007</v>
      </c>
      <c r="G6" s="17">
        <f>G5*Assumptions!C11</f>
        <v>16.176558288960006</v>
      </c>
      <c r="H6" s="17">
        <f>H5*Assumptions!C11</f>
        <v>17.955979700745612</v>
      </c>
      <c r="I6" s="17">
        <f>I5*Assumptions!C11</f>
        <v>19.931137467827629</v>
      </c>
      <c r="J6" s="17">
        <f>J5*Assumptions!C11</f>
        <v>22.123562589288671</v>
      </c>
      <c r="K6" s="17">
        <f>K5*Assumptions!C11</f>
        <v>24.557154474110426</v>
      </c>
      <c r="L6" s="17">
        <f>L5*Assumptions!C11</f>
        <v>27.258441466262578</v>
      </c>
      <c r="M6" s="17">
        <f>M5*Assumptions!C11</f>
        <v>30.256870027551464</v>
      </c>
      <c r="N6" s="17">
        <f>N5*Assumptions!C11</f>
        <v>33.585125730582128</v>
      </c>
      <c r="O6" s="17">
        <f>O5*Assumptions!C11</f>
        <v>37.279489560946161</v>
      </c>
      <c r="P6" s="17">
        <f>P5*Assumptions!C11</f>
        <v>41.380233412650249</v>
      </c>
      <c r="Q6" s="17">
        <f>Q5*Assumptions!C11</f>
        <v>45.932059088041783</v>
      </c>
      <c r="R6" s="17">
        <f>R5*Assumptions!C11</f>
        <v>50.984585587726379</v>
      </c>
      <c r="S6" s="17">
        <f>S5*Assumptions!C11</f>
        <v>56.592890002376279</v>
      </c>
      <c r="T6" s="17">
        <f>T5*Assumptions!C11</f>
        <v>62.818107902637671</v>
      </c>
      <c r="U6" s="17">
        <f>U5*Assumptions!C11</f>
        <v>69.72809977192783</v>
      </c>
      <c r="V6" s="17">
        <f>V5*Assumptions!C11</f>
        <v>77.398190746839887</v>
      </c>
      <c r="W6" s="17">
        <f>W5*Assumptions!C11</f>
        <v>85.911991728992291</v>
      </c>
      <c r="X6" s="17">
        <f>X5*Assumptions!C11</f>
        <v>95.362310819181445</v>
      </c>
      <c r="Y6" s="17">
        <f>Y5*Assumptions!C11</f>
        <v>105.85216500929141</v>
      </c>
      <c r="Z6" s="17">
        <f>Z5*Assumptions!C11</f>
        <v>117.49590316031347</v>
      </c>
      <c r="AA6" s="17">
        <f>AA5*Assumptions!C11</f>
        <v>130.42045250794797</v>
      </c>
      <c r="AB6" s="17">
        <f>AB5*Assumptions!C11</f>
        <v>144.76670228382224</v>
      </c>
      <c r="AC6" s="17">
        <f>AC5*Assumptions!C11</f>
        <v>160.69103953504271</v>
      </c>
      <c r="AD6" s="17">
        <f>AD5*Assumptions!C11</f>
        <v>178.36705388389743</v>
      </c>
      <c r="AE6" s="17">
        <f>AE5*Assumptions!C11</f>
        <v>197.98742981112616</v>
      </c>
      <c r="AF6" s="17">
        <f>AF5*Assumptions!C11</f>
        <v>219.76604709035007</v>
      </c>
      <c r="AG6" s="17">
        <f>AG5*Assumptions!C11</f>
        <v>243.94031227028862</v>
      </c>
      <c r="AH6" s="17">
        <f>AH5*Assumptions!C11</f>
        <v>270.7737466200204</v>
      </c>
      <c r="AI6" s="17">
        <f>AI5*Assumptions!C11</f>
        <v>300.55885874822263</v>
      </c>
      <c r="AJ6" s="17">
        <f>AJ5*Assumptions!C11</f>
        <v>333.62033321052718</v>
      </c>
      <c r="AK6" s="17">
        <f>AK5*Assumptions!C11</f>
        <v>370.31856986368518</v>
      </c>
      <c r="AL6" s="17">
        <f>SUM(B6:M6)</f>
        <v>218.04659755074641</v>
      </c>
      <c r="AM6" s="17">
        <f>SUM(N6:Y6)</f>
        <v>762.82524936119353</v>
      </c>
      <c r="AN6" s="17">
        <f>SUM(Z6:AK6)</f>
        <v>2668.7064489852437</v>
      </c>
      <c r="AO6" t="s">
        <v>126</v>
      </c>
    </row>
    <row r="7" spans="1:41" ht="15" customHeight="1" x14ac:dyDescent="0.2">
      <c r="A7" s="9" t="s">
        <v>127</v>
      </c>
      <c r="B7" s="17">
        <f>0</f>
        <v>0</v>
      </c>
      <c r="C7" s="17">
        <f>0</f>
        <v>0</v>
      </c>
      <c r="D7" s="17">
        <f>0</f>
        <v>0</v>
      </c>
      <c r="E7" s="17">
        <f>Assumptions!C12/Assumptions!C15</f>
        <v>200</v>
      </c>
      <c r="F7" s="17">
        <f>Assumptions!C12/Assumptions!C15</f>
        <v>200</v>
      </c>
      <c r="G7" s="17">
        <f>Assumptions!C12/Assumptions!C15</f>
        <v>200</v>
      </c>
      <c r="H7" s="17">
        <f>Assumptions!C12/Assumptions!C15</f>
        <v>200</v>
      </c>
      <c r="I7" s="17">
        <f>Assumptions!C12/Assumptions!C15</f>
        <v>200</v>
      </c>
      <c r="J7" s="17">
        <f>Assumptions!C12/Assumptions!C15</f>
        <v>200</v>
      </c>
      <c r="K7" s="17">
        <f>Assumptions!C12/Assumptions!C15</f>
        <v>200</v>
      </c>
      <c r="L7" s="17">
        <f>Assumptions!C12/Assumptions!C15</f>
        <v>200</v>
      </c>
      <c r="M7" s="17">
        <f>Assumptions!C12/Assumptions!C15</f>
        <v>200</v>
      </c>
      <c r="N7" s="17">
        <f>Assumptions!C13/Assumptions!C16</f>
        <v>416.66666666666669</v>
      </c>
      <c r="O7" s="17">
        <f>Assumptions!C13/Assumptions!C16</f>
        <v>416.66666666666669</v>
      </c>
      <c r="P7" s="17">
        <f>Assumptions!C13/Assumptions!C16</f>
        <v>416.66666666666669</v>
      </c>
      <c r="Q7" s="17">
        <f>Assumptions!C13/Assumptions!C16</f>
        <v>416.66666666666669</v>
      </c>
      <c r="R7" s="17">
        <f>Assumptions!C13/Assumptions!C16</f>
        <v>416.66666666666669</v>
      </c>
      <c r="S7" s="17">
        <f>Assumptions!C13/Assumptions!C16</f>
        <v>416.66666666666669</v>
      </c>
      <c r="T7" s="17">
        <f>Assumptions!C13/Assumptions!C16</f>
        <v>416.66666666666669</v>
      </c>
      <c r="U7" s="17">
        <f>Assumptions!C13/Assumptions!C16</f>
        <v>416.66666666666669</v>
      </c>
      <c r="V7" s="17">
        <f>Assumptions!C13/Assumptions!C16</f>
        <v>416.66666666666669</v>
      </c>
      <c r="W7" s="17">
        <f>Assumptions!C13/Assumptions!C16</f>
        <v>416.66666666666669</v>
      </c>
      <c r="X7" s="17">
        <f>Assumptions!C13/Assumptions!C16</f>
        <v>416.66666666666669</v>
      </c>
      <c r="Y7" s="17">
        <f>Assumptions!C13/Assumptions!C16</f>
        <v>416.66666666666669</v>
      </c>
      <c r="Z7" s="17">
        <f>Assumptions!C14/Assumptions!C16</f>
        <v>750</v>
      </c>
      <c r="AA7" s="17">
        <f>Assumptions!C14/Assumptions!C16</f>
        <v>750</v>
      </c>
      <c r="AB7" s="17">
        <f>Assumptions!C14/Assumptions!C16</f>
        <v>750</v>
      </c>
      <c r="AC7" s="17">
        <f>Assumptions!C14/Assumptions!C16</f>
        <v>750</v>
      </c>
      <c r="AD7" s="17">
        <f>Assumptions!C14/Assumptions!C16</f>
        <v>750</v>
      </c>
      <c r="AE7" s="17">
        <f>Assumptions!C14/Assumptions!C16</f>
        <v>750</v>
      </c>
      <c r="AF7" s="17">
        <f>Assumptions!C14/Assumptions!C16</f>
        <v>750</v>
      </c>
      <c r="AG7" s="17">
        <f>Assumptions!C14/Assumptions!C16</f>
        <v>750</v>
      </c>
      <c r="AH7" s="17">
        <f>Assumptions!C14/Assumptions!C16</f>
        <v>750</v>
      </c>
      <c r="AI7" s="17">
        <f>Assumptions!C14/Assumptions!C16</f>
        <v>750</v>
      </c>
      <c r="AJ7" s="17">
        <f>Assumptions!C14/Assumptions!C16</f>
        <v>750</v>
      </c>
      <c r="AK7" s="17">
        <f>Assumptions!C14/Assumptions!C16</f>
        <v>750</v>
      </c>
      <c r="AL7" s="17">
        <f>SUM(B7:M7)</f>
        <v>1800</v>
      </c>
      <c r="AM7" s="17">
        <f>SUM(N7:Y7)</f>
        <v>5000</v>
      </c>
      <c r="AN7" s="17">
        <f>SUM(Z7:AK7)</f>
        <v>9000</v>
      </c>
      <c r="AO7" t="s">
        <v>128</v>
      </c>
    </row>
    <row r="8" spans="1:41" ht="15" customHeight="1" x14ac:dyDescent="0.2">
      <c r="A8" s="9" t="s">
        <v>129</v>
      </c>
      <c r="B8" s="18">
        <f>0</f>
        <v>0</v>
      </c>
      <c r="C8" s="18">
        <f>0</f>
        <v>0</v>
      </c>
      <c r="D8" s="18">
        <f>0</f>
        <v>0</v>
      </c>
      <c r="E8" s="18">
        <f>MIN(Assumptions!C22,1*Assumptions!C21)</f>
        <v>1.4999999999999999E-2</v>
      </c>
      <c r="F8" s="18">
        <f>MIN(Assumptions!C22,2*Assumptions!C21)</f>
        <v>0.03</v>
      </c>
      <c r="G8" s="18">
        <f>MIN(Assumptions!C22,3*Assumptions!C21)</f>
        <v>4.4999999999999998E-2</v>
      </c>
      <c r="H8" s="18">
        <f>MIN(Assumptions!C22,4*Assumptions!C21)</f>
        <v>0.06</v>
      </c>
      <c r="I8" s="18">
        <f>MIN(Assumptions!C22,5*Assumptions!C21)</f>
        <v>7.4999999999999997E-2</v>
      </c>
      <c r="J8" s="18">
        <f>MIN(Assumptions!C22,6*Assumptions!C21)</f>
        <v>0.09</v>
      </c>
      <c r="K8" s="18">
        <f>MIN(Assumptions!C22,7*Assumptions!C21)</f>
        <v>0.105</v>
      </c>
      <c r="L8" s="18">
        <f>MIN(Assumptions!C22,8*Assumptions!C21)</f>
        <v>0.12</v>
      </c>
      <c r="M8" s="18">
        <f>MIN(Assumptions!C22,9*Assumptions!C21)</f>
        <v>0.13500000000000001</v>
      </c>
      <c r="N8" s="18">
        <f>MIN(Assumptions!C22,10*Assumptions!C21)</f>
        <v>0.15</v>
      </c>
      <c r="O8" s="18">
        <f>MIN(Assumptions!C22,11*Assumptions!C21)</f>
        <v>0.16499999999999998</v>
      </c>
      <c r="P8" s="18">
        <f>MIN(Assumptions!C22,12*Assumptions!C21)</f>
        <v>0.18</v>
      </c>
      <c r="Q8" s="18">
        <f>MIN(Assumptions!C22,13*Assumptions!C21)</f>
        <v>0.19500000000000001</v>
      </c>
      <c r="R8" s="18">
        <f>MIN(Assumptions!C22,14*Assumptions!C21)</f>
        <v>0.21</v>
      </c>
      <c r="S8" s="18">
        <f>MIN(Assumptions!C22,15*Assumptions!C21)</f>
        <v>0.22499999999999998</v>
      </c>
      <c r="T8" s="18">
        <f>MIN(Assumptions!C22,16*Assumptions!C21)</f>
        <v>0.24</v>
      </c>
      <c r="U8" s="18">
        <f>MIN(Assumptions!C22,17*Assumptions!C21)</f>
        <v>0.255</v>
      </c>
      <c r="V8" s="18">
        <f>MIN(Assumptions!C22,18*Assumptions!C21)</f>
        <v>0.27</v>
      </c>
      <c r="W8" s="18">
        <f>MIN(Assumptions!C22,19*Assumptions!C21)</f>
        <v>0.28499999999999998</v>
      </c>
      <c r="X8" s="18">
        <f>MIN(Assumptions!C22,20*Assumptions!C21)</f>
        <v>0.3</v>
      </c>
      <c r="Y8" s="18">
        <f>MIN(Assumptions!C22,21*Assumptions!C21)</f>
        <v>0.3</v>
      </c>
      <c r="Z8" s="18">
        <f>MIN(Assumptions!C22,22*Assumptions!C21)</f>
        <v>0.3</v>
      </c>
      <c r="AA8" s="18">
        <f>MIN(Assumptions!C22,23*Assumptions!C21)</f>
        <v>0.3</v>
      </c>
      <c r="AB8" s="18">
        <f>MIN(Assumptions!C22,24*Assumptions!C21)</f>
        <v>0.3</v>
      </c>
      <c r="AC8" s="18">
        <f>MIN(Assumptions!C22,25*Assumptions!C21)</f>
        <v>0.3</v>
      </c>
      <c r="AD8" s="18">
        <f>MIN(Assumptions!C22,26*Assumptions!C21)</f>
        <v>0.3</v>
      </c>
      <c r="AE8" s="18">
        <f>MIN(Assumptions!C22,27*Assumptions!C21)</f>
        <v>0.3</v>
      </c>
      <c r="AF8" s="18">
        <f>MIN(Assumptions!C22,28*Assumptions!C21)</f>
        <v>0.3</v>
      </c>
      <c r="AG8" s="18">
        <f>MIN(Assumptions!C22,29*Assumptions!C21)</f>
        <v>0.3</v>
      </c>
      <c r="AH8" s="18">
        <f>MIN(Assumptions!C22,30*Assumptions!C21)</f>
        <v>0.3</v>
      </c>
      <c r="AI8" s="18">
        <f>MIN(Assumptions!C22,31*Assumptions!C21)</f>
        <v>0.3</v>
      </c>
      <c r="AJ8" s="18">
        <f>MIN(Assumptions!C22,32*Assumptions!C21)</f>
        <v>0.3</v>
      </c>
      <c r="AK8" s="18">
        <f>MIN(Assumptions!C22,33*Assumptions!C21)</f>
        <v>0.3</v>
      </c>
      <c r="AL8" s="18">
        <f>M8</f>
        <v>0.13500000000000001</v>
      </c>
      <c r="AM8" s="18">
        <f>Y8</f>
        <v>0.3</v>
      </c>
      <c r="AN8" s="18">
        <f>AK8</f>
        <v>0.3</v>
      </c>
      <c r="AO8" t="s">
        <v>130</v>
      </c>
    </row>
    <row r="9" spans="1:41" ht="15" customHeight="1" x14ac:dyDescent="0.2">
      <c r="A9" s="9" t="s">
        <v>131</v>
      </c>
      <c r="B9" s="18">
        <f>Assumptions!C18*(1-B8*Assumptions!C23)</f>
        <v>0.09</v>
      </c>
      <c r="C9" s="18">
        <f>Assumptions!C18*(1-C8*Assumptions!C23)</f>
        <v>0.09</v>
      </c>
      <c r="D9" s="18">
        <f>Assumptions!C18*(1-D8*Assumptions!C23)</f>
        <v>0.09</v>
      </c>
      <c r="E9" s="18">
        <f>Assumptions!C18*(1-E8*Assumptions!C23)</f>
        <v>8.9595000000000008E-2</v>
      </c>
      <c r="F9" s="18">
        <f>Assumptions!C18*(1-F8*Assumptions!C23)</f>
        <v>8.9189999999999992E-2</v>
      </c>
      <c r="G9" s="18">
        <f>Assumptions!C18*(1-G8*Assumptions!C23)</f>
        <v>8.8785000000000003E-2</v>
      </c>
      <c r="H9" s="18">
        <f>Assumptions!C18*(1-H8*Assumptions!C23)</f>
        <v>8.838E-2</v>
      </c>
      <c r="I9" s="18">
        <f>Assumptions!C18*(1-I8*Assumptions!C23)</f>
        <v>8.7974999999999998E-2</v>
      </c>
      <c r="J9" s="18">
        <f>Assumptions!C18*(1-J8*Assumptions!C23)</f>
        <v>8.7569999999999995E-2</v>
      </c>
      <c r="K9" s="18">
        <f>Assumptions!C18*(1-K8*Assumptions!C23)</f>
        <v>8.7164999999999992E-2</v>
      </c>
      <c r="L9" s="18">
        <f>Assumptions!C18*(1-L8*Assumptions!C23)</f>
        <v>8.675999999999999E-2</v>
      </c>
      <c r="M9" s="18">
        <f>Assumptions!C18*(1-M8*Assumptions!C23)</f>
        <v>8.6355000000000001E-2</v>
      </c>
      <c r="N9" s="18">
        <f>Assumptions!C19*(1-N8*Assumptions!C23)</f>
        <v>7.6399999999999996E-2</v>
      </c>
      <c r="O9" s="18">
        <f>Assumptions!C19*(1-O8*Assumptions!C23)</f>
        <v>7.6039999999999996E-2</v>
      </c>
      <c r="P9" s="18">
        <f>Assumptions!C19*(1-P8*Assumptions!C23)</f>
        <v>7.5679999999999997E-2</v>
      </c>
      <c r="Q9" s="18">
        <f>Assumptions!C19*(1-Q8*Assumptions!C23)</f>
        <v>7.5319999999999998E-2</v>
      </c>
      <c r="R9" s="18">
        <f>Assumptions!C19*(1-R8*Assumptions!C23)</f>
        <v>7.4960000000000013E-2</v>
      </c>
      <c r="S9" s="18">
        <f>Assumptions!C19*(1-S8*Assumptions!C23)</f>
        <v>7.46E-2</v>
      </c>
      <c r="T9" s="18">
        <f>Assumptions!C19*(1-T8*Assumptions!C23)</f>
        <v>7.424E-2</v>
      </c>
      <c r="U9" s="18">
        <f>Assumptions!C19*(1-U8*Assumptions!C23)</f>
        <v>7.3880000000000001E-2</v>
      </c>
      <c r="V9" s="18">
        <f>Assumptions!C19*(1-V8*Assumptions!C23)</f>
        <v>7.3520000000000002E-2</v>
      </c>
      <c r="W9" s="18">
        <f>Assumptions!C19*(1-W8*Assumptions!C23)</f>
        <v>7.3160000000000003E-2</v>
      </c>
      <c r="X9" s="18">
        <f>Assumptions!C19*(1-X8*Assumptions!C23)</f>
        <v>7.2800000000000004E-2</v>
      </c>
      <c r="Y9" s="18">
        <f>Assumptions!C19*(1-Y8*Assumptions!C23)</f>
        <v>7.2800000000000004E-2</v>
      </c>
      <c r="Z9" s="18">
        <f>Assumptions!C20*(1-Z8*Assumptions!C23)</f>
        <v>5.9150000000000001E-2</v>
      </c>
      <c r="AA9" s="18">
        <f>Assumptions!C20*(1-AA8*Assumptions!C23)</f>
        <v>5.9150000000000001E-2</v>
      </c>
      <c r="AB9" s="18">
        <f>Assumptions!C20*(1-AB8*Assumptions!C23)</f>
        <v>5.9150000000000001E-2</v>
      </c>
      <c r="AC9" s="18">
        <f>Assumptions!C20*(1-AC8*Assumptions!C23)</f>
        <v>5.9150000000000001E-2</v>
      </c>
      <c r="AD9" s="18">
        <f>Assumptions!C20*(1-AD8*Assumptions!C23)</f>
        <v>5.9150000000000001E-2</v>
      </c>
      <c r="AE9" s="18">
        <f>Assumptions!C20*(1-AE8*Assumptions!C23)</f>
        <v>5.9150000000000001E-2</v>
      </c>
      <c r="AF9" s="18">
        <f>Assumptions!C20*(1-AF8*Assumptions!C23)</f>
        <v>5.9150000000000001E-2</v>
      </c>
      <c r="AG9" s="18">
        <f>Assumptions!C20*(1-AG8*Assumptions!C23)</f>
        <v>5.9150000000000001E-2</v>
      </c>
      <c r="AH9" s="18">
        <f>Assumptions!C20*(1-AH8*Assumptions!C23)</f>
        <v>5.9150000000000001E-2</v>
      </c>
      <c r="AI9" s="18">
        <f>Assumptions!C20*(1-AI8*Assumptions!C23)</f>
        <v>5.9150000000000001E-2</v>
      </c>
      <c r="AJ9" s="18">
        <f>Assumptions!C20*(1-AJ8*Assumptions!C23)</f>
        <v>5.9150000000000001E-2</v>
      </c>
      <c r="AK9" s="18">
        <f>Assumptions!C20*(1-AK8*Assumptions!C23)</f>
        <v>5.9150000000000001E-2</v>
      </c>
      <c r="AL9" s="18">
        <f>AVERAGE(B9:M9)</f>
        <v>8.8481249999999997E-2</v>
      </c>
      <c r="AM9" s="18">
        <f>AVERAGE(N9:Y9)</f>
        <v>7.4450000000000002E-2</v>
      </c>
      <c r="AN9" s="18">
        <f>AVERAGE(Z9:AK9)</f>
        <v>5.9150000000000008E-2</v>
      </c>
      <c r="AO9" t="s">
        <v>132</v>
      </c>
    </row>
    <row r="10" spans="1:41" ht="15" customHeight="1" x14ac:dyDescent="0.2">
      <c r="A10" s="9" t="s">
        <v>133</v>
      </c>
      <c r="B10" s="17">
        <f>0</f>
        <v>0</v>
      </c>
      <c r="C10" s="17">
        <f>0</f>
        <v>0</v>
      </c>
      <c r="D10" s="17">
        <f>0</f>
        <v>0</v>
      </c>
      <c r="E10" s="17">
        <f>0</f>
        <v>0</v>
      </c>
      <c r="F10" s="17">
        <f>0</f>
        <v>0</v>
      </c>
      <c r="G10" s="17">
        <f>0</f>
        <v>0</v>
      </c>
      <c r="H10" s="17">
        <f>0</f>
        <v>0</v>
      </c>
      <c r="I10" s="17">
        <f>0</f>
        <v>0</v>
      </c>
      <c r="J10" s="17">
        <f>0</f>
        <v>0</v>
      </c>
      <c r="K10" s="17">
        <f>0</f>
        <v>0</v>
      </c>
      <c r="L10" s="17">
        <f>0</f>
        <v>0</v>
      </c>
      <c r="M10" s="17">
        <f>0</f>
        <v>0</v>
      </c>
      <c r="N10" s="17">
        <f>M11*Assumptions!C26</f>
        <v>10.787778692979883</v>
      </c>
      <c r="O10" s="17">
        <f>N11*Assumptions!C26</f>
        <v>13.259572503618237</v>
      </c>
      <c r="P10" s="17">
        <f>O11*Assumptions!C26</f>
        <v>15.556463988373062</v>
      </c>
      <c r="Q10" s="17">
        <f>P11*Assumptions!C26</f>
        <v>17.697829064415068</v>
      </c>
      <c r="R10" s="17">
        <f>Q11*Assumptions!C26</f>
        <v>19.701585304460522</v>
      </c>
      <c r="S10" s="17">
        <f>R11*Assumptions!C26</f>
        <v>21.584376972162655</v>
      </c>
      <c r="T10" s="17">
        <f>S11*Assumptions!C26</f>
        <v>23.361746297765922</v>
      </c>
      <c r="U10" s="17">
        <f>T11*Assumptions!C26</f>
        <v>25.048292964656319</v>
      </c>
      <c r="V10" s="17">
        <f>U11*Assumptions!C26</f>
        <v>26.657823631482046</v>
      </c>
      <c r="W10" s="17">
        <f>V11*Assumptions!C26</f>
        <v>28.203493191460669</v>
      </c>
      <c r="X10" s="17">
        <f>W11*Assumptions!C26</f>
        <v>29.697939368604889</v>
      </c>
      <c r="Y10" s="17">
        <f>X11*Assumptions!C26</f>
        <v>31.153412168449776</v>
      </c>
      <c r="Z10" s="17">
        <f>Y11*Assumptions!C26</f>
        <v>32.570684408892944</v>
      </c>
      <c r="AA10" s="17">
        <f>Z11*Assumptions!C26</f>
        <v>36.906067566742585</v>
      </c>
      <c r="AB10" s="17">
        <f>AA11*Assumptions!C26</f>
        <v>41.049431557228793</v>
      </c>
      <c r="AC10" s="17">
        <f>AB11*Assumptions!C26</f>
        <v>45.024237211068161</v>
      </c>
      <c r="AD10" s="17">
        <f>AC11*Assumptions!C26</f>
        <v>48.853554597463287</v>
      </c>
      <c r="AE10" s="17">
        <f>AD11*Assumptions!C26</f>
        <v>52.560218087671586</v>
      </c>
      <c r="AF10" s="17">
        <f>AE11*Assumptions!C26</f>
        <v>56.166985275711717</v>
      </c>
      <c r="AG10" s="17">
        <f>AF11*Assumptions!C26</f>
        <v>59.696701060263159</v>
      </c>
      <c r="AH10" s="17">
        <f>AG11*Assumptions!C26</f>
        <v>63.172468276623782</v>
      </c>
      <c r="AI10" s="17">
        <f>AH11*Assumptions!C26</f>
        <v>66.617826365636958</v>
      </c>
      <c r="AJ10" s="17">
        <f>AI11*Assumptions!C26</f>
        <v>70.056939678978935</v>
      </c>
      <c r="AK10" s="17">
        <f>AJ11*Assumptions!C26</f>
        <v>73.514797148453937</v>
      </c>
      <c r="AL10" s="17">
        <f>SUM(B10:M10)</f>
        <v>0</v>
      </c>
      <c r="AM10" s="17">
        <f>SUM(N10:Y10)</f>
        <v>262.71031414842906</v>
      </c>
      <c r="AN10" s="17">
        <f>SUM(Z10:AK10)</f>
        <v>646.18991123473575</v>
      </c>
      <c r="AO10" t="s">
        <v>134</v>
      </c>
    </row>
    <row r="11" spans="1:41" ht="15" customHeight="1" x14ac:dyDescent="0.2">
      <c r="A11" s="19" t="s">
        <v>135</v>
      </c>
      <c r="B11" s="17">
        <f>B6+B7</f>
        <v>9.6</v>
      </c>
      <c r="C11" s="17">
        <f t="shared" ref="C11:AK11" si="0">B11*(1-C9)-C10+C6+C7</f>
        <v>19.392000000000003</v>
      </c>
      <c r="D11" s="17">
        <f t="shared" si="0"/>
        <v>29.474880000000006</v>
      </c>
      <c r="E11" s="17">
        <f t="shared" si="0"/>
        <v>239.9633357264</v>
      </c>
      <c r="F11" s="17">
        <f t="shared" si="0"/>
        <v>433.13448174896234</v>
      </c>
      <c r="G11" s="17">
        <f t="shared" si="0"/>
        <v>610.8551950758407</v>
      </c>
      <c r="H11" s="17">
        <f t="shared" si="0"/>
        <v>774.82379263578355</v>
      </c>
      <c r="I11" s="17">
        <f t="shared" si="0"/>
        <v>926.58980694647812</v>
      </c>
      <c r="J11" s="17">
        <f t="shared" si="0"/>
        <v>1067.5719001414636</v>
      </c>
      <c r="K11" s="17">
        <f t="shared" si="0"/>
        <v>1199.0741499397436</v>
      </c>
      <c r="L11" s="17">
        <f t="shared" si="0"/>
        <v>1322.3009181572343</v>
      </c>
      <c r="M11" s="17">
        <f t="shared" si="0"/>
        <v>1438.3704923973178</v>
      </c>
      <c r="N11" s="17">
        <f t="shared" si="0"/>
        <v>1767.9430004824317</v>
      </c>
      <c r="O11" s="17">
        <f t="shared" si="0"/>
        <v>2074.1951984497418</v>
      </c>
      <c r="P11" s="17">
        <f t="shared" si="0"/>
        <v>2359.7105419220093</v>
      </c>
      <c r="Q11" s="17">
        <f t="shared" si="0"/>
        <v>2626.8780405947364</v>
      </c>
      <c r="R11" s="17">
        <f t="shared" si="0"/>
        <v>2877.9169296216874</v>
      </c>
      <c r="S11" s="17">
        <f t="shared" si="0"/>
        <v>3114.8995063687898</v>
      </c>
      <c r="T11" s="17">
        <f t="shared" si="0"/>
        <v>3339.7723952875094</v>
      </c>
      <c r="U11" s="17">
        <f t="shared" si="0"/>
        <v>3554.3764841976063</v>
      </c>
      <c r="V11" s="17">
        <f t="shared" si="0"/>
        <v>3760.4657588614227</v>
      </c>
      <c r="W11" s="17">
        <f t="shared" si="0"/>
        <v>3959.7252491473187</v>
      </c>
      <c r="X11" s="17">
        <f t="shared" si="0"/>
        <v>4153.7882891266372</v>
      </c>
      <c r="Y11" s="17">
        <f t="shared" si="0"/>
        <v>4342.7579211857264</v>
      </c>
      <c r="Z11" s="17">
        <f t="shared" si="0"/>
        <v>4920.8090088990111</v>
      </c>
      <c r="AA11" s="17">
        <f t="shared" si="0"/>
        <v>5473.2575409638393</v>
      </c>
      <c r="AB11" s="17">
        <f t="shared" si="0"/>
        <v>6003.2316281424219</v>
      </c>
      <c r="AC11" s="17">
        <f t="shared" si="0"/>
        <v>6513.8072796617716</v>
      </c>
      <c r="AD11" s="17">
        <f t="shared" si="0"/>
        <v>7008.0290783562114</v>
      </c>
      <c r="AE11" s="17">
        <f t="shared" si="0"/>
        <v>7488.931370094896</v>
      </c>
      <c r="AF11" s="17">
        <f t="shared" si="0"/>
        <v>7959.5601413684217</v>
      </c>
      <c r="AG11" s="17">
        <f t="shared" si="0"/>
        <v>8422.9957702165048</v>
      </c>
      <c r="AH11" s="17">
        <f t="shared" si="0"/>
        <v>8882.3768487515954</v>
      </c>
      <c r="AI11" s="17">
        <f t="shared" si="0"/>
        <v>9340.9252905305257</v>
      </c>
      <c r="AJ11" s="17">
        <f t="shared" si="0"/>
        <v>9801.9729531271914</v>
      </c>
      <c r="AK11" s="17">
        <f t="shared" si="0"/>
        <v>10268.990025664947</v>
      </c>
      <c r="AL11" s="17">
        <f>M11</f>
        <v>1438.3704923973178</v>
      </c>
      <c r="AM11" s="17">
        <f>Y11</f>
        <v>4342.7579211857264</v>
      </c>
      <c r="AN11" s="17">
        <f>AK11</f>
        <v>10268.990025664947</v>
      </c>
      <c r="AO11" t="s">
        <v>136</v>
      </c>
    </row>
    <row r="12" spans="1:41" ht="27.75" customHeight="1" x14ac:dyDescent="0.2">
      <c r="A12" s="19" t="s">
        <v>137</v>
      </c>
      <c r="B12" s="17">
        <f>0</f>
        <v>0</v>
      </c>
      <c r="C12" s="17">
        <f>0</f>
        <v>0</v>
      </c>
      <c r="D12" s="17">
        <f>0</f>
        <v>0</v>
      </c>
      <c r="E12" s="17">
        <f>0</f>
        <v>0</v>
      </c>
      <c r="F12" s="17">
        <f>0</f>
        <v>0</v>
      </c>
      <c r="G12" s="17">
        <f>0</f>
        <v>0</v>
      </c>
      <c r="H12" s="17">
        <f>0</f>
        <v>0</v>
      </c>
      <c r="I12" s="17">
        <f>0</f>
        <v>0</v>
      </c>
      <c r="J12" s="17">
        <f>0</f>
        <v>0</v>
      </c>
      <c r="K12" s="17">
        <f>0</f>
        <v>0</v>
      </c>
      <c r="L12" s="17">
        <f>0</f>
        <v>0</v>
      </c>
      <c r="M12" s="17">
        <f>0</f>
        <v>0</v>
      </c>
      <c r="N12" s="17">
        <f>N10</f>
        <v>10.787778692979883</v>
      </c>
      <c r="O12" s="17">
        <f>N12*(1-Assumptions!C27)+O10</f>
        <v>23.615840048878923</v>
      </c>
      <c r="P12" s="17">
        <f>O12*(1-Assumptions!C27)+P10</f>
        <v>38.22767043529683</v>
      </c>
      <c r="Q12" s="17">
        <f>P12*(1-Assumptions!C27)+Q10</f>
        <v>54.396392682300025</v>
      </c>
      <c r="R12" s="17">
        <f>Q12*(1-Assumptions!C27)+R10</f>
        <v>71.922122279468539</v>
      </c>
      <c r="S12" s="17">
        <f>R12*(1-Assumptions!C27)+S10</f>
        <v>90.62961436045245</v>
      </c>
      <c r="T12" s="17">
        <f>S12*(1-Assumptions!C27)+T10</f>
        <v>110.36617608380027</v>
      </c>
      <c r="U12" s="17">
        <f>T12*(1-Assumptions!C27)+U10</f>
        <v>130.99982200510456</v>
      </c>
      <c r="V12" s="17">
        <f>U12*(1-Assumptions!C27)+V10</f>
        <v>152.41765275638244</v>
      </c>
      <c r="W12" s="17">
        <f>V12*(1-Assumptions!C27)+W10</f>
        <v>174.52443983758781</v>
      </c>
      <c r="X12" s="17">
        <f>W12*(1-Assumptions!C27)+X10</f>
        <v>197.24140161268917</v>
      </c>
      <c r="Y12" s="17">
        <f>X12*(1-Assumptions!C27)+Y10</f>
        <v>220.5051577166314</v>
      </c>
      <c r="Z12" s="17">
        <f>Y12*(1-Assumptions!C27)+Z10</f>
        <v>244.25563581685907</v>
      </c>
      <c r="AA12" s="17">
        <f>Z12*(1-Assumptions!C27)+AA10</f>
        <v>271.39147795092725</v>
      </c>
      <c r="AB12" s="17">
        <f>AA12*(1-Assumptions!C27)+AB10</f>
        <v>301.58525039011892</v>
      </c>
      <c r="AC12" s="17">
        <f>AB12*(1-Assumptions!C27)+AC10</f>
        <v>334.54607758558234</v>
      </c>
      <c r="AD12" s="17">
        <f>AC12*(1-Assumptions!C27)+AD10</f>
        <v>370.01778907962233</v>
      </c>
      <c r="AE12" s="17">
        <f>AD12*(1-Assumptions!C27)+AE10</f>
        <v>407.77729560410899</v>
      </c>
      <c r="AF12" s="17">
        <f>AE12*(1-Assumptions!C27)+AF10</f>
        <v>447.63318905565637</v>
      </c>
      <c r="AG12" s="17">
        <f>AF12*(1-Assumptions!C27)+AG10</f>
        <v>489.42456255369325</v>
      </c>
      <c r="AH12" s="17">
        <f>AG12*(1-Assumptions!C27)+AH10</f>
        <v>533.02004832816931</v>
      </c>
      <c r="AI12" s="17">
        <f>AH12*(1-Assumptions!C27)+AI10</f>
        <v>578.31707276067948</v>
      </c>
      <c r="AJ12" s="17">
        <f>AI12*(1-Assumptions!C27)+AJ10</f>
        <v>625.24132952923117</v>
      </c>
      <c r="AK12" s="17">
        <f>AJ12*(1-Assumptions!C27)+AK10</f>
        <v>673.74647349651582</v>
      </c>
      <c r="AL12" s="17">
        <f>M12</f>
        <v>0</v>
      </c>
      <c r="AM12" s="17">
        <f>Y12</f>
        <v>220.5051577166314</v>
      </c>
      <c r="AN12" s="17">
        <f>AK12</f>
        <v>673.74647349651582</v>
      </c>
      <c r="AO12" t="s">
        <v>138</v>
      </c>
    </row>
    <row r="13" spans="1:41" ht="15" customHeight="1" x14ac:dyDescent="0.2">
      <c r="A13" s="9" t="s">
        <v>139</v>
      </c>
      <c r="B13" s="20">
        <f>0</f>
        <v>0</v>
      </c>
      <c r="C13" s="20">
        <f>0</f>
        <v>0</v>
      </c>
      <c r="D13" s="20">
        <f>0</f>
        <v>0</v>
      </c>
      <c r="E13" s="20">
        <f>0</f>
        <v>0</v>
      </c>
      <c r="F13" s="20">
        <f>0</f>
        <v>0</v>
      </c>
      <c r="G13" s="20">
        <f>Assumptions!C29</f>
        <v>0.5</v>
      </c>
      <c r="H13" s="20">
        <f>G13+Assumptions!C29</f>
        <v>1</v>
      </c>
      <c r="I13" s="20">
        <f>H13+Assumptions!C29</f>
        <v>1.5</v>
      </c>
      <c r="J13" s="20">
        <f>I13+Assumptions!C29</f>
        <v>2</v>
      </c>
      <c r="K13" s="20">
        <f>J13+Assumptions!C29</f>
        <v>2.5</v>
      </c>
      <c r="L13" s="20">
        <f>K13+Assumptions!C29</f>
        <v>3</v>
      </c>
      <c r="M13" s="20">
        <f>L13+Assumptions!C29</f>
        <v>3.5</v>
      </c>
      <c r="N13" s="20">
        <f>M13+Assumptions!C30</f>
        <v>4.7</v>
      </c>
      <c r="O13" s="20">
        <f>N13+Assumptions!C30</f>
        <v>5.9</v>
      </c>
      <c r="P13" s="20">
        <f>O13+Assumptions!C30</f>
        <v>7.1000000000000005</v>
      </c>
      <c r="Q13" s="20">
        <f>P13+Assumptions!C30</f>
        <v>8.3000000000000007</v>
      </c>
      <c r="R13" s="20">
        <f>Q13+Assumptions!C30</f>
        <v>9.5</v>
      </c>
      <c r="S13" s="20">
        <f>R13+Assumptions!C30</f>
        <v>10.7</v>
      </c>
      <c r="T13" s="20">
        <f>S13+Assumptions!C30</f>
        <v>11.899999999999999</v>
      </c>
      <c r="U13" s="20">
        <f>T13+Assumptions!C30</f>
        <v>13.099999999999998</v>
      </c>
      <c r="V13" s="20">
        <f>U13+Assumptions!C30</f>
        <v>14.299999999999997</v>
      </c>
      <c r="W13" s="20">
        <f>V13+Assumptions!C30</f>
        <v>15.499999999999996</v>
      </c>
      <c r="X13" s="20">
        <f>W13+Assumptions!C30</f>
        <v>16.699999999999996</v>
      </c>
      <c r="Y13" s="20">
        <f>X13+Assumptions!C30</f>
        <v>17.899999999999995</v>
      </c>
      <c r="Z13" s="20">
        <f>Y13+Assumptions!C31</f>
        <v>20.399999999999995</v>
      </c>
      <c r="AA13" s="20">
        <f>Z13+Assumptions!C31</f>
        <v>22.899999999999995</v>
      </c>
      <c r="AB13" s="20">
        <f>AA13+Assumptions!C31</f>
        <v>25.399999999999995</v>
      </c>
      <c r="AC13" s="20">
        <f>AB13+Assumptions!C31</f>
        <v>27.899999999999995</v>
      </c>
      <c r="AD13" s="20">
        <f>AC13+Assumptions!C31</f>
        <v>30.399999999999995</v>
      </c>
      <c r="AE13" s="20">
        <f>AD13+Assumptions!C31</f>
        <v>32.899999999999991</v>
      </c>
      <c r="AF13" s="20">
        <f>AE13+Assumptions!C31</f>
        <v>35.399999999999991</v>
      </c>
      <c r="AG13" s="20">
        <f>AF13+Assumptions!C31</f>
        <v>37.899999999999991</v>
      </c>
      <c r="AH13" s="20">
        <f>AG13+Assumptions!C31</f>
        <v>40.399999999999991</v>
      </c>
      <c r="AI13" s="20">
        <f>AH13+Assumptions!C31</f>
        <v>42.899999999999991</v>
      </c>
      <c r="AJ13" s="20">
        <f>AI13+Assumptions!C31</f>
        <v>45.399999999999991</v>
      </c>
      <c r="AK13" s="20">
        <f>AJ13+Assumptions!C31</f>
        <v>47.899999999999991</v>
      </c>
      <c r="AL13" s="20">
        <f>M13</f>
        <v>3.5</v>
      </c>
      <c r="AM13" s="20">
        <f>Y13</f>
        <v>17.899999999999995</v>
      </c>
      <c r="AN13" s="20">
        <f>AK13</f>
        <v>47.899999999999991</v>
      </c>
    </row>
    <row r="14" spans="1:41" ht="15" customHeight="1" x14ac:dyDescent="0.2">
      <c r="A14" s="19" t="s">
        <v>140</v>
      </c>
      <c r="B14" s="17">
        <f>0</f>
        <v>0</v>
      </c>
      <c r="C14" s="17">
        <f>0</f>
        <v>0</v>
      </c>
      <c r="D14" s="17">
        <f>0</f>
        <v>0</v>
      </c>
      <c r="E14" s="17">
        <f>0</f>
        <v>0</v>
      </c>
      <c r="F14" s="17">
        <f>0</f>
        <v>0</v>
      </c>
      <c r="G14" s="17">
        <f>Assumptions!C29*Assumptions!C32</f>
        <v>60</v>
      </c>
      <c r="H14" s="17">
        <f>G14*(1-(1-(1-Assumptions!C33)^(1/12)))+Assumptions!C29*Assumptions!C32</f>
        <v>118.8945917924251</v>
      </c>
      <c r="I14" s="17">
        <f>H14*(1-(1-(1-Assumptions!C33)^(1/12)))+Assumptions!C29*Assumptions!C32</f>
        <v>176.70414083236489</v>
      </c>
      <c r="J14" s="17">
        <f>I14*(1-(1-(1-Assumptions!C33)^(1/12)))+Assumptions!C29*Assumptions!C32</f>
        <v>233.44863737255542</v>
      </c>
      <c r="K14" s="17">
        <f>J14*(1-(1-(1-Assumptions!C33)^(1/12)))+Assumptions!C29*Assumptions!C32</f>
        <v>289.1477033759088</v>
      </c>
      <c r="L14" s="17">
        <f>K14*(1-(1-(1-Assumptions!C33)^(1/12)))+Assumptions!C29*Assumptions!C32</f>
        <v>343.82059930068942</v>
      </c>
      <c r="M14" s="17">
        <f>L14*(1-(1-(1-Assumptions!C33)^(1/12)))+Assumptions!C29*Assumptions!C32</f>
        <v>397.48623076068435</v>
      </c>
      <c r="N14" s="17">
        <f>M14*(1-(1-(1-Assumptions!C33)^(1/12)))+Assumptions!C30*Assumptions!C32</f>
        <v>534.16315506266983</v>
      </c>
      <c r="O14" s="17">
        <f>N14*(1-(1-(1-Assumptions!C33)^(1/12)))+Assumptions!C30*Assumptions!C32</f>
        <v>668.32201613283019</v>
      </c>
      <c r="P14" s="17">
        <f>O14*(1-(1-(1-Assumptions!C33)^(1/12)))+Assumptions!C30*Assumptions!C32</f>
        <v>800.00920543389293</v>
      </c>
      <c r="Q14" s="17">
        <f>P14*(1-(1-(1-Assumptions!C33)^(1/12)))+Assumptions!C30*Assumptions!C32</f>
        <v>929.27025973685795</v>
      </c>
      <c r="R14" s="17">
        <f>Q14*(1-(1-(1-Assumptions!C33)^(1/12)))+Assumptions!C30*Assumptions!C32</f>
        <v>1056.149876867385</v>
      </c>
      <c r="S14" s="17">
        <f>R14*(1-(1-(1-Assumptions!C33)^(1/12)))+Assumptions!C30*Assumptions!C32</f>
        <v>1180.6919311620779</v>
      </c>
      <c r="T14" s="17">
        <f>S14*(1-(1-(1-Assumptions!C33)^(1/12)))+Assumptions!C30*Assumptions!C32</f>
        <v>1302.9394886400109</v>
      </c>
      <c r="U14" s="17">
        <f>T14*(1-(1-(1-Assumptions!C33)^(1/12)))+Assumptions!C30*Assumptions!C32</f>
        <v>1422.9348218947425</v>
      </c>
      <c r="V14" s="17">
        <f>U14*(1-(1-(1-Assumptions!C33)^(1/12)))+Assumptions!C30*Assumptions!C32</f>
        <v>1540.7194247119662</v>
      </c>
      <c r="W14" s="17">
        <f>V14*(1-(1-(1-Assumptions!C33)^(1/12)))+Assumptions!C30*Assumptions!C32</f>
        <v>1656.3340264178548</v>
      </c>
      <c r="X14" s="17">
        <f>W14*(1-(1-(1-Assumptions!C33)^(1/12)))+Assumptions!C30*Assumptions!C32</f>
        <v>1769.8186059630568</v>
      </c>
      <c r="Y14" s="17">
        <f>X14*(1-(1-(1-Assumptions!C33)^(1/12)))+Assumptions!C30*Assumptions!C32</f>
        <v>1881.2124057472179</v>
      </c>
      <c r="Z14" s="17">
        <f>Y14*(1-(1-(1-Assumptions!C33)^(1/12)))+Assumptions!C31*Assumptions!C32</f>
        <v>2146.5539451888062</v>
      </c>
      <c r="AA14" s="17">
        <f>Z14*(1-(1-(1-Assumptions!C33)^(1/12)))+Assumptions!C31*Assumptions!C32</f>
        <v>2407.0069727052396</v>
      </c>
      <c r="AB14" s="17">
        <f>AA14*(1-(1-(1-Assumptions!C33)^(1/12)))+Assumptions!C31*Assumptions!C32</f>
        <v>2662.6615516499332</v>
      </c>
      <c r="AC14" s="17">
        <f>AB14*(1-(1-(1-Assumptions!C33)^(1/12)))+Assumptions!C31*Assumptions!C32</f>
        <v>2913.6060860968005</v>
      </c>
      <c r="AD14" s="17">
        <f>AC14*(1-(1-(1-Assumptions!C33)^(1/12)))+Assumptions!C31*Assumptions!C32</f>
        <v>3159.9273514099409</v>
      </c>
      <c r="AE14" s="17">
        <f>AD14*(1-(1-(1-Assumptions!C33)^(1/12)))+Assumptions!C31*Assumptions!C32</f>
        <v>3401.7105242501248</v>
      </c>
      <c r="AF14" s="17">
        <f>AE14*(1-(1-(1-Assumptions!C33)^(1/12)))+Assumptions!C31*Assumptions!C32</f>
        <v>3639.0392120284582</v>
      </c>
      <c r="AG14" s="17">
        <f>AF14*(1-(1-(1-Assumptions!C33)^(1/12)))+Assumptions!C31*Assumptions!C32</f>
        <v>3871.9954818174056</v>
      </c>
      <c r="AH14" s="17">
        <f>AG14*(1-(1-(1-Assumptions!C33)^(1/12)))+Assumptions!C31*Assumptions!C32</f>
        <v>4100.6598887291739</v>
      </c>
      <c r="AI14" s="17">
        <f>AH14*(1-(1-(1-Assumptions!C33)^(1/12)))+Assumptions!C31*Assumptions!C32</f>
        <v>4325.1115037712671</v>
      </c>
      <c r="AJ14" s="17">
        <f>AI14*(1-(1-(1-Assumptions!C33)^(1/12)))+Assumptions!C31*Assumptions!C32</f>
        <v>4545.4279411888438</v>
      </c>
      <c r="AK14" s="17">
        <f>AJ14*(1-(1-(1-Assumptions!C33)^(1/12)))+Assumptions!C31*Assumptions!C32</f>
        <v>4761.6853853033363</v>
      </c>
      <c r="AL14" s="17">
        <f>M14</f>
        <v>397.48623076068435</v>
      </c>
      <c r="AM14" s="17">
        <f>Y14</f>
        <v>1881.2124057472179</v>
      </c>
      <c r="AN14" s="17">
        <f>AK14</f>
        <v>4761.6853853033363</v>
      </c>
      <c r="AO14" t="s">
        <v>141</v>
      </c>
    </row>
    <row r="15" spans="1:41" ht="15" customHeight="1" x14ac:dyDescent="0.2">
      <c r="A15" s="19" t="s">
        <v>142</v>
      </c>
      <c r="B15" s="21">
        <f t="shared" ref="B15:AK15" si="1">B11+B12+B14</f>
        <v>9.6</v>
      </c>
      <c r="C15" s="21">
        <f t="shared" si="1"/>
        <v>19.392000000000003</v>
      </c>
      <c r="D15" s="21">
        <f t="shared" si="1"/>
        <v>29.474880000000006</v>
      </c>
      <c r="E15" s="21">
        <f t="shared" si="1"/>
        <v>239.9633357264</v>
      </c>
      <c r="F15" s="21">
        <f t="shared" si="1"/>
        <v>433.13448174896234</v>
      </c>
      <c r="G15" s="21">
        <f t="shared" si="1"/>
        <v>670.8551950758407</v>
      </c>
      <c r="H15" s="21">
        <f t="shared" si="1"/>
        <v>893.71838442820865</v>
      </c>
      <c r="I15" s="21">
        <f t="shared" si="1"/>
        <v>1103.2939477788429</v>
      </c>
      <c r="J15" s="21">
        <f t="shared" si="1"/>
        <v>1301.020537514019</v>
      </c>
      <c r="K15" s="21">
        <f t="shared" si="1"/>
        <v>1488.2218533156524</v>
      </c>
      <c r="L15" s="21">
        <f t="shared" si="1"/>
        <v>1666.1215174579238</v>
      </c>
      <c r="M15" s="21">
        <f t="shared" si="1"/>
        <v>1835.8567231580021</v>
      </c>
      <c r="N15" s="21">
        <f t="shared" si="1"/>
        <v>2312.8939342380813</v>
      </c>
      <c r="O15" s="21">
        <f t="shared" si="1"/>
        <v>2766.1330546314512</v>
      </c>
      <c r="P15" s="21">
        <f t="shared" si="1"/>
        <v>3197.9474177911989</v>
      </c>
      <c r="Q15" s="21">
        <f t="shared" si="1"/>
        <v>3610.5446930138942</v>
      </c>
      <c r="R15" s="21">
        <f t="shared" si="1"/>
        <v>4005.988928768541</v>
      </c>
      <c r="S15" s="21">
        <f t="shared" si="1"/>
        <v>4386.2210518913198</v>
      </c>
      <c r="T15" s="21">
        <f t="shared" si="1"/>
        <v>4753.0780600113212</v>
      </c>
      <c r="U15" s="21">
        <f t="shared" si="1"/>
        <v>5108.3111280974535</v>
      </c>
      <c r="V15" s="21">
        <f t="shared" si="1"/>
        <v>5453.602836329771</v>
      </c>
      <c r="W15" s="21">
        <f t="shared" si="1"/>
        <v>5790.5837154027613</v>
      </c>
      <c r="X15" s="21">
        <f t="shared" si="1"/>
        <v>6120.8482967023838</v>
      </c>
      <c r="Y15" s="21">
        <f t="shared" si="1"/>
        <v>6444.4754846495762</v>
      </c>
      <c r="Z15" s="21">
        <f t="shared" si="1"/>
        <v>7311.6185899046768</v>
      </c>
      <c r="AA15" s="21">
        <f t="shared" si="1"/>
        <v>8151.6559916200058</v>
      </c>
      <c r="AB15" s="21">
        <f t="shared" si="1"/>
        <v>8967.4784301824729</v>
      </c>
      <c r="AC15" s="21">
        <f t="shared" si="1"/>
        <v>9761.9594433441544</v>
      </c>
      <c r="AD15" s="21">
        <f t="shared" si="1"/>
        <v>10537.974218845775</v>
      </c>
      <c r="AE15" s="21">
        <f t="shared" si="1"/>
        <v>11298.419189949131</v>
      </c>
      <c r="AF15" s="21">
        <f t="shared" si="1"/>
        <v>12046.232542452535</v>
      </c>
      <c r="AG15" s="21">
        <f t="shared" si="1"/>
        <v>12784.415814587603</v>
      </c>
      <c r="AH15" s="21">
        <f t="shared" si="1"/>
        <v>13516.056785808938</v>
      </c>
      <c r="AI15" s="21">
        <f t="shared" si="1"/>
        <v>14244.353867062473</v>
      </c>
      <c r="AJ15" s="21">
        <f t="shared" si="1"/>
        <v>14972.642223845267</v>
      </c>
      <c r="AK15" s="21">
        <f t="shared" si="1"/>
        <v>15704.421884464798</v>
      </c>
      <c r="AL15" s="21">
        <f>M15</f>
        <v>1835.8567231580021</v>
      </c>
      <c r="AM15" s="21">
        <f>Y15</f>
        <v>6444.4754846495762</v>
      </c>
      <c r="AN15" s="21">
        <f>AK15</f>
        <v>15704.421884464798</v>
      </c>
      <c r="AO15" t="s">
        <v>143</v>
      </c>
    </row>
    <row r="17" spans="1:41" ht="15" customHeight="1" x14ac:dyDescent="0.2">
      <c r="A17" s="6" t="s">
        <v>144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ht="15" customHeight="1" x14ac:dyDescent="0.2">
      <c r="A18" s="9" t="s">
        <v>145</v>
      </c>
      <c r="B18" s="22">
        <f>B11*Assumptions!C4</f>
        <v>47.904000000000003</v>
      </c>
      <c r="C18" s="22">
        <f>(B11+C11)/2*Assumptions!C4</f>
        <v>72.335040000000021</v>
      </c>
      <c r="D18" s="22">
        <f>(C11+D11)/2*Assumptions!C4</f>
        <v>121.92286560000002</v>
      </c>
      <c r="E18" s="22">
        <f>(D11+E11)/2*Assumptions!C4</f>
        <v>672.24834823736808</v>
      </c>
      <c r="F18" s="22">
        <f>(E11+F11)/2*Assumptions!C4</f>
        <v>1679.3790546010291</v>
      </c>
      <c r="G18" s="22">
        <f>(F11+G11)/2*Assumptions!C4</f>
        <v>2604.754243677884</v>
      </c>
      <c r="H18" s="22">
        <f>(G11+H11)/2*Assumptions!C4</f>
        <v>3457.2690743405028</v>
      </c>
      <c r="I18" s="22">
        <f>(H11+I11)/2*Assumptions!C4</f>
        <v>4245.0269309577434</v>
      </c>
      <c r="J18" s="22">
        <f>(I11+J11)/2*Assumptions!C4</f>
        <v>4975.4334591844145</v>
      </c>
      <c r="K18" s="22">
        <f>(J11+K11)/2*Assumptions!C4</f>
        <v>5655.2818949526127</v>
      </c>
      <c r="L18" s="22">
        <f>(K11+L11)/2*Assumptions!C4</f>
        <v>6290.83079490196</v>
      </c>
      <c r="M18" s="22">
        <f>(L11+M11)/2*Assumptions!C4</f>
        <v>6887.875169333608</v>
      </c>
      <c r="N18" s="22">
        <f>(M11+N11)/2*Assumptions!C4</f>
        <v>7999.7521647349749</v>
      </c>
      <c r="O18" s="22">
        <f>(N11+O11)/2*Assumptions!C4</f>
        <v>9586.1348063357727</v>
      </c>
      <c r="P18" s="22">
        <f>(O11+P11)/2*Assumptions!C4</f>
        <v>11062.594822227518</v>
      </c>
      <c r="Q18" s="22">
        <f>(P11+Q11)/2*Assumptions!C4</f>
        <v>12441.538513379282</v>
      </c>
      <c r="R18" s="22">
        <f>(Q11+R11)/2*Assumptions!C4</f>
        <v>13734.463450689978</v>
      </c>
      <c r="S18" s="22">
        <f>(R11+S11)/2*Assumptions!C4</f>
        <v>14952.077007796241</v>
      </c>
      <c r="T18" s="22">
        <f>(S11+T11)/2*Assumptions!C4</f>
        <v>16104.406394632468</v>
      </c>
      <c r="U18" s="22">
        <f>(T11+U11)/2*Assumptions!C4</f>
        <v>17200.901454315364</v>
      </c>
      <c r="V18" s="22">
        <f>(U11+V11)/2*Assumptions!C4</f>
        <v>18250.531396432278</v>
      </c>
      <c r="W18" s="22">
        <f>(V11+W11)/2*Assumptions!C4</f>
        <v>19261.876564981812</v>
      </c>
      <c r="X18" s="22">
        <f>(W11+X11)/2*Assumptions!C4</f>
        <v>20243.216277993521</v>
      </c>
      <c r="Y18" s="22">
        <f>(X11+Y11)/2*Assumptions!C4</f>
        <v>21198.88279472935</v>
      </c>
      <c r="Z18" s="22">
        <f>(Y11+Z11)/2*Assumptions!C4</f>
        <v>23112.599490561421</v>
      </c>
      <c r="AA18" s="22">
        <f>(Z11+AA11)/2*Assumptions!C4</f>
        <v>25933.196041907817</v>
      </c>
      <c r="AB18" s="22">
        <f>(AA11+AB11)/2*Assumptions!C4</f>
        <v>28633.840476920126</v>
      </c>
      <c r="AC18" s="22">
        <f>(AB11+AC11)/2*Assumptions!C4</f>
        <v>31230.012074971462</v>
      </c>
      <c r="AD18" s="22">
        <f>(AC11+AD11)/2*Assumptions!C4</f>
        <v>33736.981713254871</v>
      </c>
      <c r="AE18" s="22">
        <f>(AD11+AE11)/2*Assumptions!C4</f>
        <v>36169.916318885516</v>
      </c>
      <c r="AF18" s="22">
        <f>(AE11+AF11)/2*Assumptions!C4</f>
        <v>38543.98632110098</v>
      </c>
      <c r="AG18" s="22">
        <f>(AF11+AG11)/2*Assumptions!C4</f>
        <v>40874.476999404396</v>
      </c>
      <c r="AH18" s="22">
        <f>(AG11+AH11)/2*Assumptions!C4</f>
        <v>43176.904684325411</v>
      </c>
      <c r="AI18" s="22">
        <f>(AH11+AI11)/2*Assumptions!C4</f>
        <v>45467.138837508894</v>
      </c>
      <c r="AJ18" s="22">
        <f>(AI11+AJ11)/2*Assumptions!C4</f>
        <v>47761.53111792601</v>
      </c>
      <c r="AK18" s="22">
        <f>(AJ11+AK11)/2*Assumptions!C4</f>
        <v>50077.052632086386</v>
      </c>
      <c r="AL18" s="22">
        <f t="shared" ref="AL18:AL24" si="2">SUM(B18:M18)</f>
        <v>36710.26087578712</v>
      </c>
      <c r="AM18" s="22">
        <f t="shared" ref="AM18:AM24" si="3">SUM(N18:Y18)</f>
        <v>182036.37564824856</v>
      </c>
      <c r="AN18" s="22">
        <f t="shared" ref="AN18:AN24" si="4">SUM(Z18:AK18)</f>
        <v>444717.6367088533</v>
      </c>
    </row>
    <row r="19" spans="1:41" ht="15" customHeight="1" x14ac:dyDescent="0.2">
      <c r="A19" s="9" t="s">
        <v>146</v>
      </c>
      <c r="B19" s="22">
        <f>0</f>
        <v>0</v>
      </c>
      <c r="C19" s="22">
        <f>0</f>
        <v>0</v>
      </c>
      <c r="D19" s="22">
        <f>0</f>
        <v>0</v>
      </c>
      <c r="E19" s="22">
        <f>0</f>
        <v>0</v>
      </c>
      <c r="F19" s="22">
        <f>0</f>
        <v>0</v>
      </c>
      <c r="G19" s="22">
        <f>0</f>
        <v>0</v>
      </c>
      <c r="H19" s="22">
        <f>0</f>
        <v>0</v>
      </c>
      <c r="I19" s="22">
        <f>0</f>
        <v>0</v>
      </c>
      <c r="J19" s="22">
        <f>0</f>
        <v>0</v>
      </c>
      <c r="K19" s="22">
        <f>0</f>
        <v>0</v>
      </c>
      <c r="L19" s="22">
        <f>0</f>
        <v>0</v>
      </c>
      <c r="M19" s="22">
        <f>0</f>
        <v>0</v>
      </c>
      <c r="N19" s="22">
        <f>N12*Assumptions!C5</f>
        <v>140.13324522180866</v>
      </c>
      <c r="O19" s="22">
        <f>(N12+O12)/2*Assumptions!C5</f>
        <v>223.45150372837296</v>
      </c>
      <c r="P19" s="22">
        <f>(O12+P12)/2*Assumptions!C5</f>
        <v>401.67360059472151</v>
      </c>
      <c r="Q19" s="22">
        <f>(P12+Q12)/2*Assumptions!C5</f>
        <v>601.59328994879149</v>
      </c>
      <c r="R19" s="22">
        <f>(Q12+R12)/2*Assumptions!C5</f>
        <v>820.43875467668681</v>
      </c>
      <c r="S19" s="22">
        <f>(R12+S12)/2*Assumptions!C5</f>
        <v>1055.7735294762867</v>
      </c>
      <c r="T19" s="22">
        <f>(S12+T12)/2*Assumptions!C5</f>
        <v>1305.4676589354215</v>
      </c>
      <c r="U19" s="22">
        <f>(T12+U12)/2*Assumptions!C5</f>
        <v>1567.6721575874369</v>
      </c>
      <c r="V19" s="22">
        <f>(U12+V12)/2*Assumptions!C5</f>
        <v>1840.7964985758583</v>
      </c>
      <c r="W19" s="22">
        <f>(V12+W12)/2*Assumptions!C5</f>
        <v>2123.4888913978366</v>
      </c>
      <c r="X19" s="22">
        <f>(W12+X12)/2*Assumptions!C5</f>
        <v>2414.6191402195491</v>
      </c>
      <c r="Y19" s="22">
        <f>(X12+Y12)/2*Assumptions!C5</f>
        <v>2713.2639028439371</v>
      </c>
      <c r="Z19" s="22">
        <f>(Y12+Z12)/2*Assumptions!C5</f>
        <v>3018.6213540000208</v>
      </c>
      <c r="AA19" s="22">
        <f>(Z12+AA12)/2*Assumptions!C5</f>
        <v>3349.1280039217722</v>
      </c>
      <c r="AB19" s="22">
        <f>(AA12+AB12)/2*Assumptions!C5</f>
        <v>3721.4838505750949</v>
      </c>
      <c r="AC19" s="22">
        <f>(AB12+AC12)/2*Assumptions!C5</f>
        <v>4131.6729752021793</v>
      </c>
      <c r="AD19" s="22">
        <f>(AC12+AD12)/2*Assumptions!C5</f>
        <v>4576.1423139905037</v>
      </c>
      <c r="AE19" s="22">
        <f>(AD12+AE12)/2*Assumptions!C5</f>
        <v>5051.7790750208351</v>
      </c>
      <c r="AF19" s="22">
        <f>(AE12+AF12)/2*Assumptions!C5</f>
        <v>5555.8910978651766</v>
      </c>
      <c r="AG19" s="22">
        <f>(AF12+AG12)/2*Assumptions!C5</f>
        <v>6086.1900967027259</v>
      </c>
      <c r="AH19" s="22">
        <f>(AG12+AH12)/2*Assumptions!C5</f>
        <v>6640.7777476776973</v>
      </c>
      <c r="AI19" s="22">
        <f>(AH12+AI12)/2*Assumptions!C5</f>
        <v>7218.134601472073</v>
      </c>
      <c r="AJ19" s="22">
        <f>(AI12+AJ12)/2*Assumptions!C5</f>
        <v>7817.1118228729702</v>
      </c>
      <c r="AK19" s="22">
        <f>(AJ12+AK12)/2*Assumptions!C5</f>
        <v>8436.9257806522255</v>
      </c>
      <c r="AL19" s="22">
        <f t="shared" si="2"/>
        <v>0</v>
      </c>
      <c r="AM19" s="22">
        <f t="shared" si="3"/>
        <v>15208.372173206708</v>
      </c>
      <c r="AN19" s="22">
        <f t="shared" si="4"/>
        <v>65603.858719953278</v>
      </c>
    </row>
    <row r="20" spans="1:41" ht="15" customHeight="1" x14ac:dyDescent="0.2">
      <c r="A20" s="9" t="s">
        <v>147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G14*Assumptions!C6</f>
        <v>239.4</v>
      </c>
      <c r="H20" s="22">
        <f>H14*Assumptions!C6</f>
        <v>474.38942125177618</v>
      </c>
      <c r="I20" s="22">
        <f>I14*Assumptions!C6</f>
        <v>705.04952192113592</v>
      </c>
      <c r="J20" s="22">
        <f>J14*Assumptions!C6</f>
        <v>931.46006311649614</v>
      </c>
      <c r="K20" s="22">
        <f>K14*Assumptions!C6</f>
        <v>1153.6993364698762</v>
      </c>
      <c r="L20" s="22">
        <f>L14*Assumptions!C6</f>
        <v>1371.8441912097508</v>
      </c>
      <c r="M20" s="22">
        <f>M14*Assumptions!C6</f>
        <v>1585.9700607351306</v>
      </c>
      <c r="N20" s="22">
        <f>N14*Assumptions!C7</f>
        <v>3199.6372988253925</v>
      </c>
      <c r="O20" s="22">
        <f>O14*Assumptions!C7</f>
        <v>4003.2488766356528</v>
      </c>
      <c r="P20" s="22">
        <f>P14*Assumptions!C7</f>
        <v>4792.0551405490187</v>
      </c>
      <c r="Q20" s="22">
        <f>Q14*Assumptions!C7</f>
        <v>5566.3288558237791</v>
      </c>
      <c r="R20" s="22">
        <f>R14*Assumptions!C7</f>
        <v>6326.3377624356363</v>
      </c>
      <c r="S20" s="22">
        <f>S14*Assumptions!C7</f>
        <v>7072.3446676608473</v>
      </c>
      <c r="T20" s="22">
        <f>T14*Assumptions!C7</f>
        <v>7804.6075369536657</v>
      </c>
      <c r="U20" s="22">
        <f>U14*Assumptions!C7</f>
        <v>8523.3795831495081</v>
      </c>
      <c r="V20" s="22">
        <f>V14*Assumptions!C7</f>
        <v>9228.9093540246777</v>
      </c>
      <c r="W20" s="22">
        <f>W14*Assumptions!C7</f>
        <v>9921.4408182429506</v>
      </c>
      <c r="X20" s="22">
        <f>X14*Assumptions!C7</f>
        <v>10601.213449718711</v>
      </c>
      <c r="Y20" s="22">
        <f>Y14*Assumptions!C7</f>
        <v>11268.462310425835</v>
      </c>
      <c r="Z20" s="22">
        <f>Z14*Assumptions!C7</f>
        <v>12857.85813168095</v>
      </c>
      <c r="AA20" s="22">
        <f>AA14*Assumptions!C7</f>
        <v>14417.971766504386</v>
      </c>
      <c r="AB20" s="22">
        <f>AB14*Assumptions!C7</f>
        <v>15949.3426943831</v>
      </c>
      <c r="AC20" s="22">
        <f>AC14*Assumptions!C7</f>
        <v>17452.500455719837</v>
      </c>
      <c r="AD20" s="22">
        <f>AD14*Assumptions!C7</f>
        <v>18927.964834945546</v>
      </c>
      <c r="AE20" s="22">
        <f>AE14*Assumptions!C7</f>
        <v>20376.246040258247</v>
      </c>
      <c r="AF20" s="22">
        <f>AF14*Assumptions!C7</f>
        <v>21797.844880050467</v>
      </c>
      <c r="AG20" s="22">
        <f>AG14*Assumptions!C7</f>
        <v>23193.252936086261</v>
      </c>
      <c r="AH20" s="22">
        <f>AH14*Assumptions!C7</f>
        <v>24562.952733487753</v>
      </c>
      <c r="AI20" s="22">
        <f>AI14*Assumptions!C7</f>
        <v>25907.41790758989</v>
      </c>
      <c r="AJ20" s="22">
        <f>AJ14*Assumptions!C7</f>
        <v>27227.113367721176</v>
      </c>
      <c r="AK20" s="22">
        <f>AK14*Assumptions!C7</f>
        <v>28522.495457966987</v>
      </c>
      <c r="AL20" s="22">
        <f t="shared" si="2"/>
        <v>6461.8125947041653</v>
      </c>
      <c r="AM20" s="22">
        <f t="shared" si="3"/>
        <v>88307.965654445667</v>
      </c>
      <c r="AN20" s="22">
        <f t="shared" si="4"/>
        <v>251192.96120639463</v>
      </c>
    </row>
    <row r="21" spans="1:41" ht="15" customHeight="1" x14ac:dyDescent="0.2">
      <c r="A21" s="9" t="s">
        <v>148</v>
      </c>
      <c r="B21" s="22">
        <f>0</f>
        <v>0</v>
      </c>
      <c r="C21" s="22">
        <f>0</f>
        <v>0</v>
      </c>
      <c r="D21" s="22">
        <f>Assumptions!C35</f>
        <v>500</v>
      </c>
      <c r="E21" s="22">
        <f>Assumptions!C35</f>
        <v>500</v>
      </c>
      <c r="F21" s="22">
        <f>Assumptions!C35</f>
        <v>500</v>
      </c>
      <c r="G21" s="22">
        <f>Assumptions!C35</f>
        <v>500</v>
      </c>
      <c r="H21" s="22">
        <f>Assumptions!C35</f>
        <v>500</v>
      </c>
      <c r="I21" s="22">
        <f>Assumptions!C35</f>
        <v>500</v>
      </c>
      <c r="J21" s="22">
        <f>Assumptions!C35</f>
        <v>500</v>
      </c>
      <c r="K21" s="22">
        <f>Assumptions!C35</f>
        <v>500</v>
      </c>
      <c r="L21" s="22">
        <f>Assumptions!C35</f>
        <v>500</v>
      </c>
      <c r="M21" s="22">
        <f>Assumptions!C35</f>
        <v>500</v>
      </c>
      <c r="N21" s="22">
        <f>Assumptions!C36</f>
        <v>1000</v>
      </c>
      <c r="O21" s="22">
        <f>Assumptions!C36</f>
        <v>1000</v>
      </c>
      <c r="P21" s="22">
        <f>Assumptions!C36</f>
        <v>1000</v>
      </c>
      <c r="Q21" s="22">
        <f>Assumptions!C36</f>
        <v>1000</v>
      </c>
      <c r="R21" s="22">
        <f>Assumptions!C36</f>
        <v>1000</v>
      </c>
      <c r="S21" s="22">
        <f>Assumptions!C36</f>
        <v>1000</v>
      </c>
      <c r="T21" s="22">
        <f>Assumptions!C36</f>
        <v>1000</v>
      </c>
      <c r="U21" s="22">
        <f>Assumptions!C36</f>
        <v>1000</v>
      </c>
      <c r="V21" s="22">
        <f>Assumptions!C36</f>
        <v>1000</v>
      </c>
      <c r="W21" s="22">
        <f>Assumptions!C36</f>
        <v>1000</v>
      </c>
      <c r="X21" s="22">
        <f>Assumptions!C36</f>
        <v>1000</v>
      </c>
      <c r="Y21" s="22">
        <f>Assumptions!C36</f>
        <v>1000</v>
      </c>
      <c r="Z21" s="22">
        <f>Assumptions!C37</f>
        <v>1500</v>
      </c>
      <c r="AA21" s="22">
        <f>Assumptions!C37</f>
        <v>1500</v>
      </c>
      <c r="AB21" s="22">
        <f>Assumptions!C37</f>
        <v>1500</v>
      </c>
      <c r="AC21" s="22">
        <f>Assumptions!C37</f>
        <v>1500</v>
      </c>
      <c r="AD21" s="22">
        <f>Assumptions!C37</f>
        <v>1500</v>
      </c>
      <c r="AE21" s="22">
        <f>Assumptions!C37</f>
        <v>1500</v>
      </c>
      <c r="AF21" s="22">
        <f>Assumptions!C37</f>
        <v>1500</v>
      </c>
      <c r="AG21" s="22">
        <f>Assumptions!C37</f>
        <v>1500</v>
      </c>
      <c r="AH21" s="22">
        <f>Assumptions!C37</f>
        <v>1500</v>
      </c>
      <c r="AI21" s="22">
        <f>Assumptions!C37</f>
        <v>1500</v>
      </c>
      <c r="AJ21" s="22">
        <f>Assumptions!C37</f>
        <v>1500</v>
      </c>
      <c r="AK21" s="22">
        <f>Assumptions!C37</f>
        <v>1500</v>
      </c>
      <c r="AL21" s="22">
        <f t="shared" si="2"/>
        <v>5000</v>
      </c>
      <c r="AM21" s="22">
        <f t="shared" si="3"/>
        <v>12000</v>
      </c>
      <c r="AN21" s="22">
        <f t="shared" si="4"/>
        <v>18000</v>
      </c>
      <c r="AO21" t="s">
        <v>149</v>
      </c>
    </row>
    <row r="22" spans="1:41" ht="15" customHeight="1" x14ac:dyDescent="0.2">
      <c r="A22" s="9" t="s">
        <v>150</v>
      </c>
      <c r="B22" s="22">
        <f>0</f>
        <v>0</v>
      </c>
      <c r="C22" s="22">
        <f>0</f>
        <v>0</v>
      </c>
      <c r="D22" s="22">
        <f>0</f>
        <v>0</v>
      </c>
      <c r="E22" s="22">
        <f>0</f>
        <v>0</v>
      </c>
      <c r="F22" s="22">
        <f>0</f>
        <v>0</v>
      </c>
      <c r="G22" s="22">
        <f>G13*Assumptions!C39</f>
        <v>150</v>
      </c>
      <c r="H22" s="22">
        <f>H13*Assumptions!C39</f>
        <v>300</v>
      </c>
      <c r="I22" s="22">
        <f>I13*Assumptions!C39</f>
        <v>450</v>
      </c>
      <c r="J22" s="22">
        <f>J13*Assumptions!C39</f>
        <v>600</v>
      </c>
      <c r="K22" s="22">
        <f>K13*Assumptions!C39</f>
        <v>750</v>
      </c>
      <c r="L22" s="22">
        <f>L13*Assumptions!C39</f>
        <v>900</v>
      </c>
      <c r="M22" s="22">
        <f>M13*Assumptions!C39</f>
        <v>1050</v>
      </c>
      <c r="N22" s="22">
        <f>N13*Assumptions!C39</f>
        <v>1410</v>
      </c>
      <c r="O22" s="22">
        <f>O13*Assumptions!C39</f>
        <v>1770</v>
      </c>
      <c r="P22" s="22">
        <f>P13*Assumptions!C39</f>
        <v>2130</v>
      </c>
      <c r="Q22" s="22">
        <f>Q13*Assumptions!C39</f>
        <v>2490</v>
      </c>
      <c r="R22" s="22">
        <f>R13*Assumptions!C39</f>
        <v>2850</v>
      </c>
      <c r="S22" s="22">
        <f>S13*Assumptions!C39</f>
        <v>3210</v>
      </c>
      <c r="T22" s="22">
        <f>T13*Assumptions!C39</f>
        <v>3569.9999999999995</v>
      </c>
      <c r="U22" s="22">
        <f>U13*Assumptions!C39</f>
        <v>3929.9999999999995</v>
      </c>
      <c r="V22" s="22">
        <f>V13*Assumptions!C39</f>
        <v>4289.9999999999991</v>
      </c>
      <c r="W22" s="22">
        <f>W13*Assumptions!C39</f>
        <v>4649.9999999999991</v>
      </c>
      <c r="X22" s="22">
        <f>X13*Assumptions!C39</f>
        <v>5009.9999999999991</v>
      </c>
      <c r="Y22" s="22">
        <f>Y13*Assumptions!C39</f>
        <v>5369.9999999999982</v>
      </c>
      <c r="Z22" s="22">
        <f>Z13*Assumptions!C39</f>
        <v>6119.9999999999982</v>
      </c>
      <c r="AA22" s="22">
        <f>AA13*Assumptions!C39</f>
        <v>6869.9999999999982</v>
      </c>
      <c r="AB22" s="22">
        <f>AB13*Assumptions!C39</f>
        <v>7619.9999999999982</v>
      </c>
      <c r="AC22" s="22">
        <f>AC13*Assumptions!C39</f>
        <v>8369.9999999999982</v>
      </c>
      <c r="AD22" s="22">
        <f>AD13*Assumptions!C39</f>
        <v>9119.9999999999982</v>
      </c>
      <c r="AE22" s="22">
        <f>AE13*Assumptions!C39</f>
        <v>9869.9999999999982</v>
      </c>
      <c r="AF22" s="22">
        <f>AF13*Assumptions!C39</f>
        <v>10619.999999999998</v>
      </c>
      <c r="AG22" s="22">
        <f>AG13*Assumptions!C39</f>
        <v>11369.999999999998</v>
      </c>
      <c r="AH22" s="22">
        <f>AH13*Assumptions!C39</f>
        <v>12119.999999999998</v>
      </c>
      <c r="AI22" s="22">
        <f>AI13*Assumptions!C39</f>
        <v>12869.999999999998</v>
      </c>
      <c r="AJ22" s="22">
        <f>AJ13*Assumptions!C39</f>
        <v>13619.999999999998</v>
      </c>
      <c r="AK22" s="22">
        <f>AK13*Assumptions!C39</f>
        <v>14369.999999999998</v>
      </c>
      <c r="AL22" s="22">
        <f t="shared" si="2"/>
        <v>4200</v>
      </c>
      <c r="AM22" s="22">
        <f t="shared" si="3"/>
        <v>40680</v>
      </c>
      <c r="AN22" s="22">
        <f t="shared" si="4"/>
        <v>122939.99999999999</v>
      </c>
    </row>
    <row r="23" spans="1:41" ht="15" customHeight="1" x14ac:dyDescent="0.2">
      <c r="A23" s="9" t="s">
        <v>151</v>
      </c>
      <c r="B23" s="22">
        <f>0</f>
        <v>0</v>
      </c>
      <c r="C23" s="22">
        <f>0</f>
        <v>0</v>
      </c>
      <c r="D23" s="22">
        <f>0</f>
        <v>0</v>
      </c>
      <c r="E23" s="22">
        <f>0</f>
        <v>0</v>
      </c>
      <c r="F23" s="22">
        <f>0</f>
        <v>0</v>
      </c>
      <c r="G23" s="22">
        <f>0</f>
        <v>0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0</f>
        <v>0</v>
      </c>
      <c r="M23" s="22">
        <f>0</f>
        <v>0</v>
      </c>
      <c r="N23" s="22">
        <f>0</f>
        <v>0</v>
      </c>
      <c r="O23" s="22">
        <f>0</f>
        <v>0</v>
      </c>
      <c r="P23" s="22">
        <f>0</f>
        <v>0</v>
      </c>
      <c r="Q23" s="22">
        <f>0</f>
        <v>0</v>
      </c>
      <c r="R23" s="22">
        <f>0</f>
        <v>0</v>
      </c>
      <c r="S23" s="22">
        <f>0</f>
        <v>0</v>
      </c>
      <c r="T23" s="22">
        <f>0</f>
        <v>0</v>
      </c>
      <c r="U23" s="22">
        <f>0</f>
        <v>0</v>
      </c>
      <c r="V23" s="22">
        <f>0</f>
        <v>0</v>
      </c>
      <c r="W23" s="22">
        <f>0</f>
        <v>0</v>
      </c>
      <c r="X23" s="22">
        <f>0</f>
        <v>0</v>
      </c>
      <c r="Y23" s="22">
        <f>0</f>
        <v>0</v>
      </c>
      <c r="Z23" s="22">
        <f>Assumptions!C38</f>
        <v>0</v>
      </c>
      <c r="AA23" s="22">
        <f>Assumptions!C38</f>
        <v>0</v>
      </c>
      <c r="AB23" s="22">
        <f>Assumptions!C38</f>
        <v>0</v>
      </c>
      <c r="AC23" s="22">
        <f>Assumptions!C38</f>
        <v>0</v>
      </c>
      <c r="AD23" s="22">
        <f>Assumptions!C38</f>
        <v>0</v>
      </c>
      <c r="AE23" s="22">
        <f>Assumptions!C38</f>
        <v>0</v>
      </c>
      <c r="AF23" s="22">
        <f>Assumptions!C38</f>
        <v>0</v>
      </c>
      <c r="AG23" s="22">
        <f>Assumptions!C38</f>
        <v>0</v>
      </c>
      <c r="AH23" s="22">
        <f>Assumptions!C38</f>
        <v>0</v>
      </c>
      <c r="AI23" s="22">
        <f>Assumptions!C38</f>
        <v>0</v>
      </c>
      <c r="AJ23" s="22">
        <f>Assumptions!C38</f>
        <v>0</v>
      </c>
      <c r="AK23" s="22">
        <f>Assumptions!C38</f>
        <v>0</v>
      </c>
      <c r="AL23" s="22">
        <f t="shared" si="2"/>
        <v>0</v>
      </c>
      <c r="AM23" s="22">
        <f t="shared" si="3"/>
        <v>0</v>
      </c>
      <c r="AN23" s="22">
        <f t="shared" si="4"/>
        <v>0</v>
      </c>
    </row>
    <row r="24" spans="1:41" ht="15" customHeight="1" x14ac:dyDescent="0.2">
      <c r="A24" s="19" t="s">
        <v>152</v>
      </c>
      <c r="B24" s="23">
        <f t="shared" ref="B24:AK24" si="5">B18+B19+B20+B21+B22+B23</f>
        <v>47.904000000000003</v>
      </c>
      <c r="C24" s="23">
        <f t="shared" si="5"/>
        <v>72.335040000000021</v>
      </c>
      <c r="D24" s="23">
        <f t="shared" si="5"/>
        <v>621.92286560000002</v>
      </c>
      <c r="E24" s="23">
        <f t="shared" si="5"/>
        <v>1172.2483482373682</v>
      </c>
      <c r="F24" s="23">
        <f t="shared" si="5"/>
        <v>2179.3790546010291</v>
      </c>
      <c r="G24" s="23">
        <f t="shared" si="5"/>
        <v>3494.1542436778841</v>
      </c>
      <c r="H24" s="23">
        <f t="shared" si="5"/>
        <v>4731.658495592279</v>
      </c>
      <c r="I24" s="23">
        <f t="shared" si="5"/>
        <v>5900.0764528788795</v>
      </c>
      <c r="J24" s="23">
        <f t="shared" si="5"/>
        <v>7006.8935223009103</v>
      </c>
      <c r="K24" s="23">
        <f t="shared" si="5"/>
        <v>8058.9812314224891</v>
      </c>
      <c r="L24" s="23">
        <f t="shared" si="5"/>
        <v>9062.6749861117096</v>
      </c>
      <c r="M24" s="33">
        <f t="shared" si="5"/>
        <v>10023.845230068739</v>
      </c>
      <c r="N24" s="33">
        <f t="shared" si="5"/>
        <v>13749.522708782177</v>
      </c>
      <c r="O24" s="33">
        <f t="shared" si="5"/>
        <v>16582.835186699798</v>
      </c>
      <c r="P24" s="33">
        <f t="shared" si="5"/>
        <v>19386.323563371261</v>
      </c>
      <c r="Q24" s="33">
        <f t="shared" si="5"/>
        <v>22099.460659151853</v>
      </c>
      <c r="R24" s="33">
        <f t="shared" si="5"/>
        <v>24731.239967802299</v>
      </c>
      <c r="S24" s="33">
        <f t="shared" si="5"/>
        <v>27290.195204933374</v>
      </c>
      <c r="T24" s="33">
        <f t="shared" si="5"/>
        <v>29784.481590521555</v>
      </c>
      <c r="U24" s="33">
        <f t="shared" si="5"/>
        <v>32221.953195052309</v>
      </c>
      <c r="V24" s="33">
        <f t="shared" si="5"/>
        <v>34610.237249032813</v>
      </c>
      <c r="W24" s="33">
        <f t="shared" si="5"/>
        <v>36956.806274622599</v>
      </c>
      <c r="X24" s="33">
        <f t="shared" si="5"/>
        <v>39269.048867931779</v>
      </c>
      <c r="Y24" s="33">
        <f t="shared" si="5"/>
        <v>41550.609007999126</v>
      </c>
      <c r="Z24" s="33">
        <f t="shared" si="5"/>
        <v>46609.078976242396</v>
      </c>
      <c r="AA24" s="33">
        <f t="shared" si="5"/>
        <v>52070.295812333978</v>
      </c>
      <c r="AB24" s="33">
        <f t="shared" si="5"/>
        <v>57424.667021878326</v>
      </c>
      <c r="AC24" s="33">
        <f t="shared" si="5"/>
        <v>62684.185505893474</v>
      </c>
      <c r="AD24" s="33">
        <f t="shared" si="5"/>
        <v>67861.088862190911</v>
      </c>
      <c r="AE24" s="33">
        <f t="shared" si="5"/>
        <v>72967.941434164604</v>
      </c>
      <c r="AF24" s="33">
        <f t="shared" si="5"/>
        <v>78017.722299016619</v>
      </c>
      <c r="AG24" s="33">
        <f t="shared" si="5"/>
        <v>83023.920032193389</v>
      </c>
      <c r="AH24" s="33">
        <f t="shared" si="5"/>
        <v>88000.635165490865</v>
      </c>
      <c r="AI24" s="33">
        <f t="shared" si="5"/>
        <v>92962.691346570849</v>
      </c>
      <c r="AJ24" s="33">
        <f t="shared" si="5"/>
        <v>97925.756308520155</v>
      </c>
      <c r="AK24" s="33">
        <f t="shared" si="5"/>
        <v>102906.47387070559</v>
      </c>
      <c r="AL24" s="23">
        <f t="shared" si="2"/>
        <v>52372.07347049129</v>
      </c>
      <c r="AM24" s="23">
        <f t="shared" si="3"/>
        <v>338232.71347590094</v>
      </c>
      <c r="AN24" s="23">
        <f t="shared" si="4"/>
        <v>902454.45663520112</v>
      </c>
    </row>
    <row r="25" spans="1:41" ht="15" customHeight="1" x14ac:dyDescent="0.2">
      <c r="A25" s="9" t="s">
        <v>153</v>
      </c>
      <c r="B25" s="22">
        <f t="shared" ref="B25:AK25" si="6">B18+B19+B20</f>
        <v>47.904000000000003</v>
      </c>
      <c r="C25" s="22">
        <f t="shared" si="6"/>
        <v>72.335040000000021</v>
      </c>
      <c r="D25" s="22">
        <f t="shared" si="6"/>
        <v>121.92286560000002</v>
      </c>
      <c r="E25" s="22">
        <f t="shared" si="6"/>
        <v>672.24834823736808</v>
      </c>
      <c r="F25" s="22">
        <f t="shared" si="6"/>
        <v>1679.3790546010291</v>
      </c>
      <c r="G25" s="22">
        <f t="shared" si="6"/>
        <v>2844.1542436778841</v>
      </c>
      <c r="H25" s="22">
        <f t="shared" si="6"/>
        <v>3931.658495592279</v>
      </c>
      <c r="I25" s="22">
        <f t="shared" si="6"/>
        <v>4950.0764528788795</v>
      </c>
      <c r="J25" s="22">
        <f t="shared" si="6"/>
        <v>5906.8935223009103</v>
      </c>
      <c r="K25" s="22">
        <f t="shared" si="6"/>
        <v>6808.9812314224891</v>
      </c>
      <c r="L25" s="22">
        <f t="shared" si="6"/>
        <v>7662.6749861117105</v>
      </c>
      <c r="M25" s="22">
        <f t="shared" si="6"/>
        <v>8473.8452300687386</v>
      </c>
      <c r="N25" s="22">
        <f t="shared" si="6"/>
        <v>11339.522708782177</v>
      </c>
      <c r="O25" s="22">
        <f t="shared" si="6"/>
        <v>13812.835186699798</v>
      </c>
      <c r="P25" s="22">
        <f t="shared" si="6"/>
        <v>16256.323563371259</v>
      </c>
      <c r="Q25" s="22">
        <f t="shared" si="6"/>
        <v>18609.460659151853</v>
      </c>
      <c r="R25" s="22">
        <f t="shared" si="6"/>
        <v>20881.239967802299</v>
      </c>
      <c r="S25" s="22">
        <f t="shared" si="6"/>
        <v>23080.195204933374</v>
      </c>
      <c r="T25" s="22">
        <f t="shared" si="6"/>
        <v>25214.481590521555</v>
      </c>
      <c r="U25" s="22">
        <f t="shared" si="6"/>
        <v>27291.953195052309</v>
      </c>
      <c r="V25" s="22">
        <f t="shared" si="6"/>
        <v>29320.237249032813</v>
      </c>
      <c r="W25" s="22">
        <f t="shared" si="6"/>
        <v>31306.806274622599</v>
      </c>
      <c r="X25" s="22">
        <f t="shared" si="6"/>
        <v>33259.048867931779</v>
      </c>
      <c r="Y25" s="22">
        <f t="shared" si="6"/>
        <v>35180.609007999126</v>
      </c>
      <c r="Z25" s="22">
        <f t="shared" si="6"/>
        <v>38989.078976242396</v>
      </c>
      <c r="AA25" s="22">
        <f t="shared" si="6"/>
        <v>43700.295812333978</v>
      </c>
      <c r="AB25" s="22">
        <f t="shared" si="6"/>
        <v>48304.667021878326</v>
      </c>
      <c r="AC25" s="22">
        <f t="shared" si="6"/>
        <v>52814.185505893474</v>
      </c>
      <c r="AD25" s="22">
        <f t="shared" si="6"/>
        <v>57241.088862190918</v>
      </c>
      <c r="AE25" s="22">
        <f t="shared" si="6"/>
        <v>61597.941434164604</v>
      </c>
      <c r="AF25" s="22">
        <f t="shared" si="6"/>
        <v>65897.722299016619</v>
      </c>
      <c r="AG25" s="22">
        <f t="shared" si="6"/>
        <v>70153.920032193389</v>
      </c>
      <c r="AH25" s="22">
        <f t="shared" si="6"/>
        <v>74380.635165490865</v>
      </c>
      <c r="AI25" s="22">
        <f t="shared" si="6"/>
        <v>78592.691346570849</v>
      </c>
      <c r="AJ25" s="22">
        <f t="shared" si="6"/>
        <v>82805.756308520155</v>
      </c>
      <c r="AK25" s="22">
        <f t="shared" si="6"/>
        <v>87036.473870705595</v>
      </c>
      <c r="AL25" s="22">
        <f>M25</f>
        <v>8473.8452300687386</v>
      </c>
      <c r="AM25" s="22">
        <f>Y25</f>
        <v>35180.609007999126</v>
      </c>
      <c r="AN25" s="22">
        <f>AK25</f>
        <v>87036.473870705595</v>
      </c>
      <c r="AO25" t="s">
        <v>154</v>
      </c>
    </row>
    <row r="26" spans="1:41" ht="15" customHeight="1" x14ac:dyDescent="0.2">
      <c r="A26" s="9" t="s">
        <v>155</v>
      </c>
      <c r="B26" s="22">
        <f t="shared" ref="B26:AK26" si="7">B25*12</f>
        <v>574.84800000000007</v>
      </c>
      <c r="C26" s="22">
        <f t="shared" si="7"/>
        <v>868.02048000000025</v>
      </c>
      <c r="D26" s="22">
        <f t="shared" si="7"/>
        <v>1463.0743872000003</v>
      </c>
      <c r="E26" s="22">
        <f t="shared" si="7"/>
        <v>8066.9801788484165</v>
      </c>
      <c r="F26" s="22">
        <f t="shared" si="7"/>
        <v>20152.548655212348</v>
      </c>
      <c r="G26" s="22">
        <f t="shared" si="7"/>
        <v>34129.850924134611</v>
      </c>
      <c r="H26" s="22">
        <f t="shared" si="7"/>
        <v>47179.901947107348</v>
      </c>
      <c r="I26" s="22">
        <f t="shared" si="7"/>
        <v>59400.917434546558</v>
      </c>
      <c r="J26" s="22">
        <f t="shared" si="7"/>
        <v>70882.722267610923</v>
      </c>
      <c r="K26" s="22">
        <f t="shared" si="7"/>
        <v>81707.774777069862</v>
      </c>
      <c r="L26" s="22">
        <f t="shared" si="7"/>
        <v>91952.09983334053</v>
      </c>
      <c r="M26" s="34">
        <f t="shared" si="7"/>
        <v>101686.14276082486</v>
      </c>
      <c r="N26" s="34">
        <f t="shared" si="7"/>
        <v>136074.27250538612</v>
      </c>
      <c r="O26" s="34">
        <f t="shared" si="7"/>
        <v>165754.02224039758</v>
      </c>
      <c r="P26" s="34">
        <f t="shared" si="7"/>
        <v>195075.8827604551</v>
      </c>
      <c r="Q26" s="34">
        <f t="shared" si="7"/>
        <v>223313.52790982224</v>
      </c>
      <c r="R26" s="34">
        <f t="shared" si="7"/>
        <v>250574.87961362759</v>
      </c>
      <c r="S26" s="34">
        <f t="shared" si="7"/>
        <v>276962.34245920047</v>
      </c>
      <c r="T26" s="34">
        <f t="shared" si="7"/>
        <v>302573.77908625867</v>
      </c>
      <c r="U26" s="34">
        <f t="shared" si="7"/>
        <v>327503.4383406277</v>
      </c>
      <c r="V26" s="34">
        <f t="shared" si="7"/>
        <v>351842.84698839375</v>
      </c>
      <c r="W26" s="34">
        <f t="shared" si="7"/>
        <v>375681.67529547121</v>
      </c>
      <c r="X26" s="34">
        <f t="shared" si="7"/>
        <v>399108.58641518134</v>
      </c>
      <c r="Y26" s="34">
        <f t="shared" si="7"/>
        <v>422167.30809598952</v>
      </c>
      <c r="Z26" s="34">
        <f t="shared" si="7"/>
        <v>467868.94771490875</v>
      </c>
      <c r="AA26" s="34">
        <f t="shared" si="7"/>
        <v>524403.54974800767</v>
      </c>
      <c r="AB26" s="34">
        <f t="shared" si="7"/>
        <v>579656.00426253991</v>
      </c>
      <c r="AC26" s="34">
        <f t="shared" si="7"/>
        <v>633770.22607072163</v>
      </c>
      <c r="AD26" s="34">
        <f t="shared" si="7"/>
        <v>686893.06634629099</v>
      </c>
      <c r="AE26" s="34">
        <f t="shared" si="7"/>
        <v>739175.29720997531</v>
      </c>
      <c r="AF26" s="34">
        <f t="shared" si="7"/>
        <v>790772.66758819949</v>
      </c>
      <c r="AG26" s="34">
        <f t="shared" si="7"/>
        <v>841847.04038632067</v>
      </c>
      <c r="AH26" s="34">
        <f t="shared" si="7"/>
        <v>892567.62198589044</v>
      </c>
      <c r="AI26" s="34">
        <f t="shared" si="7"/>
        <v>943112.29615885019</v>
      </c>
      <c r="AJ26" s="34">
        <f t="shared" si="7"/>
        <v>993669.07570224185</v>
      </c>
      <c r="AK26" s="34">
        <f t="shared" si="7"/>
        <v>1044437.6864484672</v>
      </c>
      <c r="AL26" s="22">
        <f>M26</f>
        <v>101686.14276082486</v>
      </c>
      <c r="AM26" s="22">
        <f>Y26</f>
        <v>422167.30809598952</v>
      </c>
      <c r="AN26" s="22">
        <f>AK26</f>
        <v>1044437.6864484672</v>
      </c>
    </row>
    <row r="28" spans="1:41" ht="15" customHeight="1" x14ac:dyDescent="0.2">
      <c r="A28" s="6" t="s">
        <v>156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ht="15" customHeight="1" x14ac:dyDescent="0.2">
      <c r="A29" s="9" t="s">
        <v>157</v>
      </c>
      <c r="B29" s="22">
        <f>SUM(B18:B18)+SUM(B19:B19)</f>
        <v>47.904000000000003</v>
      </c>
      <c r="C29" s="22">
        <f>SUM(B18:C18)+SUM(B19:C19)</f>
        <v>120.23904000000002</v>
      </c>
      <c r="D29" s="22">
        <f>SUM(B18:D18)+SUM(B19:D19)</f>
        <v>242.16190560000004</v>
      </c>
      <c r="E29" s="22">
        <f>SUM(B18:E18)+SUM(B19:E19)</f>
        <v>914.41025383736815</v>
      </c>
      <c r="F29" s="22">
        <f>SUM(B18:F18)+SUM(B19:F19)</f>
        <v>2593.7893084383973</v>
      </c>
      <c r="G29" s="22">
        <f>SUM(B18:G18)+SUM(B19:G19)</f>
        <v>5198.5435521162817</v>
      </c>
      <c r="H29" s="22">
        <f>SUM(B18:H18)+SUM(B19:H19)</f>
        <v>8655.8126264567836</v>
      </c>
      <c r="I29" s="22">
        <f>SUM(B18:I18)+SUM(B19:I19)</f>
        <v>12900.839557414527</v>
      </c>
      <c r="J29" s="22">
        <f>SUM(B18:J18)+SUM(B19:J19)</f>
        <v>17876.273016598941</v>
      </c>
      <c r="K29" s="22">
        <f>SUM(B18:K18)+SUM(B19:K19)</f>
        <v>23531.554911551553</v>
      </c>
      <c r="L29" s="22">
        <f>SUM(B18:L18)+SUM(B19:L19)</f>
        <v>29822.385706453511</v>
      </c>
      <c r="M29" s="22">
        <f t="shared" ref="M29:AK29" si="8">SUM(B18:M18)+SUM(B19:M19)</f>
        <v>36710.26087578712</v>
      </c>
      <c r="N29" s="22">
        <f t="shared" si="8"/>
        <v>44802.242285743916</v>
      </c>
      <c r="O29" s="22">
        <f t="shared" si="8"/>
        <v>54539.493555808054</v>
      </c>
      <c r="P29" s="22">
        <f t="shared" si="8"/>
        <v>65881.839113030292</v>
      </c>
      <c r="Q29" s="22">
        <f t="shared" si="8"/>
        <v>78252.722568120997</v>
      </c>
      <c r="R29" s="22">
        <f t="shared" si="8"/>
        <v>91128.245718886639</v>
      </c>
      <c r="S29" s="22">
        <f t="shared" si="8"/>
        <v>104531.34201248127</v>
      </c>
      <c r="T29" s="22">
        <f t="shared" si="8"/>
        <v>118483.94699170867</v>
      </c>
      <c r="U29" s="22">
        <f t="shared" si="8"/>
        <v>133007.49367265374</v>
      </c>
      <c r="V29" s="22">
        <f t="shared" si="8"/>
        <v>148123.38810847743</v>
      </c>
      <c r="W29" s="22">
        <f t="shared" si="8"/>
        <v>163853.47166990448</v>
      </c>
      <c r="X29" s="22">
        <f t="shared" si="8"/>
        <v>180220.47629321559</v>
      </c>
      <c r="Y29" s="22">
        <f t="shared" si="8"/>
        <v>197244.74782145527</v>
      </c>
      <c r="Z29" s="22">
        <f t="shared" si="8"/>
        <v>215236.08325605991</v>
      </c>
      <c r="AA29" s="22">
        <f t="shared" si="8"/>
        <v>234708.82099182537</v>
      </c>
      <c r="AB29" s="22">
        <f t="shared" si="8"/>
        <v>255599.87689649838</v>
      </c>
      <c r="AC29" s="22">
        <f t="shared" si="8"/>
        <v>277918.43014334393</v>
      </c>
      <c r="AD29" s="22">
        <f t="shared" si="8"/>
        <v>301676.65196522261</v>
      </c>
      <c r="AE29" s="22">
        <f t="shared" si="8"/>
        <v>326890.49682185648</v>
      </c>
      <c r="AF29" s="22">
        <f t="shared" si="8"/>
        <v>353580.50018725469</v>
      </c>
      <c r="AG29" s="22">
        <f t="shared" si="8"/>
        <v>381772.59367145901</v>
      </c>
      <c r="AH29" s="22">
        <f t="shared" si="8"/>
        <v>411498.94820845401</v>
      </c>
      <c r="AI29" s="22">
        <f t="shared" si="8"/>
        <v>442798.85619105533</v>
      </c>
      <c r="AJ29" s="22">
        <f t="shared" si="8"/>
        <v>475719.66371364123</v>
      </c>
      <c r="AK29" s="22">
        <f t="shared" si="8"/>
        <v>510321.49542880658</v>
      </c>
    </row>
    <row r="30" spans="1:41" ht="15" customHeight="1" x14ac:dyDescent="0.2">
      <c r="A30" s="9" t="s">
        <v>158</v>
      </c>
      <c r="B30" s="22">
        <f>IF(B29&lt;Assumptions!C43,(B18+B19)*Assumptions!C41,(B18+B19)*Assumptions!C42)</f>
        <v>7.1856</v>
      </c>
      <c r="C30" s="22">
        <f>IF(C29&lt;Assumptions!C43,(C18+C19)*Assumptions!C41,(C18+C19)*Assumptions!C42)</f>
        <v>10.850256000000003</v>
      </c>
      <c r="D30" s="22">
        <f>IF(D29&lt;Assumptions!C43,(D18+D19)*Assumptions!C41,(D18+D19)*Assumptions!C42)</f>
        <v>18.288429840000003</v>
      </c>
      <c r="E30" s="22">
        <f>IF(E29&lt;Assumptions!C43,(E18+E19)*Assumptions!C41,(E18+E19)*Assumptions!C42)</f>
        <v>100.83725223560521</v>
      </c>
      <c r="F30" s="22">
        <f>IF(F29&lt;Assumptions!C43,(F18+F19)*Assumptions!C41,(F18+F19)*Assumptions!C42)</f>
        <v>251.90685819015437</v>
      </c>
      <c r="G30" s="22">
        <f>IF(G29&lt;Assumptions!C43,(G18+G19)*Assumptions!C41,(G18+G19)*Assumptions!C42)</f>
        <v>390.71313655168257</v>
      </c>
      <c r="H30" s="22">
        <f>IF(H29&lt;Assumptions!C43,(H18+H19)*Assumptions!C41,(H18+H19)*Assumptions!C42)</f>
        <v>518.5903611510754</v>
      </c>
      <c r="I30" s="22">
        <f>IF(I29&lt;Assumptions!C43,(I18+I19)*Assumptions!C41,(I18+I19)*Assumptions!C42)</f>
        <v>636.75403964366149</v>
      </c>
      <c r="J30" s="22">
        <f>IF(J29&lt;Assumptions!C43,(J18+J19)*Assumptions!C41,(J18+J19)*Assumptions!C42)</f>
        <v>746.31501887766217</v>
      </c>
      <c r="K30" s="22">
        <f>IF(K29&lt;Assumptions!C43,(K18+K19)*Assumptions!C41,(K18+K19)*Assumptions!C42)</f>
        <v>848.29228424289192</v>
      </c>
      <c r="L30" s="22">
        <f>IF(L29&lt;Assumptions!C43,(L18+L19)*Assumptions!C41,(L18+L19)*Assumptions!C42)</f>
        <v>943.62461923529395</v>
      </c>
      <c r="M30" s="22">
        <f>IF(M29&lt;Assumptions!C43,(M18+M19)*Assumptions!C41,(M18+M19)*Assumptions!C42)</f>
        <v>1033.1812754000412</v>
      </c>
      <c r="N30" s="22">
        <f>IF(N29&lt;Assumptions!C43,(N18+N19)*Assumptions!C41,(N18+N19)*Assumptions!C42)</f>
        <v>1220.9828114935174</v>
      </c>
      <c r="O30" s="22">
        <f>IF(O29&lt;Assumptions!C43,(O18+O19)*Assumptions!C41,(O18+O19)*Assumptions!C42)</f>
        <v>1471.4379465096217</v>
      </c>
      <c r="P30" s="22">
        <f>IF(P29&lt;Assumptions!C43,(P18+P19)*Assumptions!C41,(P18+P19)*Assumptions!C42)</f>
        <v>1719.6402634233361</v>
      </c>
      <c r="Q30" s="22">
        <f>IF(Q29&lt;Assumptions!C43,(Q18+Q19)*Assumptions!C41,(Q18+Q19)*Assumptions!C42)</f>
        <v>1956.4697704992109</v>
      </c>
      <c r="R30" s="22">
        <f>IF(R29&lt;Assumptions!C43,(R18+R19)*Assumptions!C41,(R18+R19)*Assumptions!C42)</f>
        <v>2183.2353308049996</v>
      </c>
      <c r="S30" s="22">
        <f>IF(S29&lt;Assumptions!C43,(S18+S19)*Assumptions!C41,(S18+S19)*Assumptions!C42)</f>
        <v>2401.1775805908787</v>
      </c>
      <c r="T30" s="22">
        <f>IF(T29&lt;Assumptions!C43,(T18+T19)*Assumptions!C41,(T18+T19)*Assumptions!C42)</f>
        <v>2611.4811080351833</v>
      </c>
      <c r="U30" s="22">
        <f>IF(U29&lt;Assumptions!C43,(U18+U19)*Assumptions!C41,(U18+U19)*Assumptions!C42)</f>
        <v>2815.2860417854199</v>
      </c>
      <c r="V30" s="22">
        <f>IF(V29&lt;Assumptions!C43,(V18+V19)*Assumptions!C41,(V18+V19)*Assumptions!C42)</f>
        <v>3013.6991842512202</v>
      </c>
      <c r="W30" s="22">
        <f>IF(W29&lt;Assumptions!C43,(W18+W19)*Assumptions!C41,(W18+W19)*Assumptions!C42)</f>
        <v>3207.804818456947</v>
      </c>
      <c r="X30" s="22">
        <f>IF(X29&lt;Assumptions!C43,(X18+X19)*Assumptions!C41,(X18+X19)*Assumptions!C42)</f>
        <v>3398.6753127319607</v>
      </c>
      <c r="Y30" s="22">
        <f>IF(Y29&lt;Assumptions!C43,(Y18+Y19)*Assumptions!C41,(Y18+Y19)*Assumptions!C42)</f>
        <v>3586.8220046359929</v>
      </c>
      <c r="Z30" s="22">
        <f>IF(Z29&lt;Assumptions!C43,(Z18+Z19)*Assumptions!C41,(Z18+Z19)*Assumptions!C42)</f>
        <v>3919.6831266842159</v>
      </c>
      <c r="AA30" s="22">
        <f>IF(AA29&lt;Assumptions!C43,(AA18+AA19)*Assumptions!C41,(AA18+AA19)*Assumptions!C42)</f>
        <v>4392.3486068744378</v>
      </c>
      <c r="AB30" s="22">
        <f>IF(AB29&lt;Assumptions!C43,(AB18+AB19)*Assumptions!C41,(AB18+AB19)*Assumptions!C42)</f>
        <v>4853.2986491242827</v>
      </c>
      <c r="AC30" s="22">
        <f>IF(AC29&lt;Assumptions!C43,(AC18+AC19)*Assumptions!C41,(AC18+AC19)*Assumptions!C42)</f>
        <v>5304.2527575260456</v>
      </c>
      <c r="AD30" s="22">
        <f>IF(AD29&lt;Assumptions!C43,(AD18+AD19)*Assumptions!C41,(AD18+AD19)*Assumptions!C42)</f>
        <v>5746.9686040868055</v>
      </c>
      <c r="AE30" s="22">
        <f>IF(AE29&lt;Assumptions!C43,(AE18+AE19)*Assumptions!C41,(AE18+AE19)*Assumptions!C42)</f>
        <v>6183.2543090859526</v>
      </c>
      <c r="AF30" s="22">
        <f>IF(AF29&lt;Assumptions!C43,(AF18+AF19)*Assumptions!C41,(AF18+AF19)*Assumptions!C42)</f>
        <v>6614.9816128449229</v>
      </c>
      <c r="AG30" s="22">
        <f>IF(AG29&lt;Assumptions!C43,(AG18+AG19)*Assumptions!C41,(AG18+AG19)*Assumptions!C42)</f>
        <v>7044.1000644160677</v>
      </c>
      <c r="AH30" s="22">
        <f>IF(AH29&lt;Assumptions!C43,(AH18+AH19)*Assumptions!C41,(AH18+AH19)*Assumptions!C42)</f>
        <v>7472.6523648004659</v>
      </c>
      <c r="AI30" s="22">
        <f>IF(AI29&lt;Assumptions!C43,(AI18+AI19)*Assumptions!C41,(AI18+AI19)*Assumptions!C42)</f>
        <v>7902.7910158471441</v>
      </c>
      <c r="AJ30" s="22">
        <f>IF(AJ29&lt;Assumptions!C43,(AJ18+AJ19)*Assumptions!C41,(AJ18+AJ19)*Assumptions!C42)</f>
        <v>8336.7964411198463</v>
      </c>
      <c r="AK30" s="22">
        <f>IF(AK29&lt;Assumptions!C43,(AK18+AK19)*Assumptions!C41,(AK18+AK19)*Assumptions!C42)</f>
        <v>8777.0967619107905</v>
      </c>
      <c r="AL30" s="22">
        <f t="shared" ref="AL30:AL42" si="9">SUM(B30:M30)</f>
        <v>5506.5391313680684</v>
      </c>
      <c r="AM30" s="22">
        <f t="shared" ref="AM30:AM42" si="10">SUM(N30:Y30)</f>
        <v>29586.712173218286</v>
      </c>
      <c r="AN30" s="22">
        <f t="shared" ref="AN30:AN42" si="11">SUM(Z30:AK30)</f>
        <v>76548.224314320978</v>
      </c>
      <c r="AO30" t="s">
        <v>159</v>
      </c>
    </row>
    <row r="31" spans="1:41" ht="15" customHeight="1" x14ac:dyDescent="0.2">
      <c r="A31" s="9" t="s">
        <v>160</v>
      </c>
      <c r="B31" s="22">
        <f>B20*Assumptions!C44</f>
        <v>0</v>
      </c>
      <c r="C31" s="22">
        <f>C20*Assumptions!C44</f>
        <v>0</v>
      </c>
      <c r="D31" s="22">
        <f>D20*Assumptions!C44</f>
        <v>0</v>
      </c>
      <c r="E31" s="22">
        <f>E20*Assumptions!C44</f>
        <v>0</v>
      </c>
      <c r="F31" s="22">
        <f>F20*Assumptions!C44</f>
        <v>0</v>
      </c>
      <c r="G31" s="22">
        <f>G20*Assumptions!C44</f>
        <v>3.3516000000000004</v>
      </c>
      <c r="H31" s="22">
        <f>H20*Assumptions!C44</f>
        <v>6.6414518975248669</v>
      </c>
      <c r="I31" s="22">
        <f>I20*Assumptions!C44</f>
        <v>9.8706933068959035</v>
      </c>
      <c r="J31" s="22">
        <f>J20*Assumptions!C44</f>
        <v>13.040440883630946</v>
      </c>
      <c r="K31" s="22">
        <f>K20*Assumptions!C44</f>
        <v>16.151790710578268</v>
      </c>
      <c r="L31" s="22">
        <f>L20*Assumptions!C44</f>
        <v>19.205818676936509</v>
      </c>
      <c r="M31" s="22">
        <f>M20*Assumptions!C44</f>
        <v>22.203580850291829</v>
      </c>
      <c r="N31" s="22">
        <f>N20*Assumptions!C44</f>
        <v>44.794922183555492</v>
      </c>
      <c r="O31" s="22">
        <f>O20*Assumptions!C44</f>
        <v>56.045484272899138</v>
      </c>
      <c r="P31" s="22">
        <f>P20*Assumptions!C44</f>
        <v>67.088771967686256</v>
      </c>
      <c r="Q31" s="22">
        <f>Q20*Assumptions!C44</f>
        <v>77.928603981532916</v>
      </c>
      <c r="R31" s="22">
        <f>R20*Assumptions!C44</f>
        <v>88.568728674098907</v>
      </c>
      <c r="S31" s="22">
        <f>S20*Assumptions!C44</f>
        <v>99.012825347251862</v>
      </c>
      <c r="T31" s="22">
        <f>T20*Assumptions!C44</f>
        <v>109.26450551735132</v>
      </c>
      <c r="U31" s="22">
        <f>U20*Assumptions!C44</f>
        <v>119.32731416409311</v>
      </c>
      <c r="V31" s="22">
        <f>V20*Assumptions!C44</f>
        <v>129.20473095634549</v>
      </c>
      <c r="W31" s="22">
        <f>W20*Assumptions!C44</f>
        <v>138.90017145540131</v>
      </c>
      <c r="X31" s="22">
        <f>X20*Assumptions!C44</f>
        <v>148.41698829606196</v>
      </c>
      <c r="Y31" s="22">
        <f>Y20*Assumptions!C44</f>
        <v>157.75847234596171</v>
      </c>
      <c r="Z31" s="22">
        <f>Z20*Assumptions!C44</f>
        <v>180.0100138435333</v>
      </c>
      <c r="AA31" s="22">
        <f>AA20*Assumptions!C44</f>
        <v>201.8516047310614</v>
      </c>
      <c r="AB31" s="22">
        <f>AB20*Assumptions!C44</f>
        <v>223.29079772136342</v>
      </c>
      <c r="AC31" s="22">
        <f>AC20*Assumptions!C44</f>
        <v>244.33500638007771</v>
      </c>
      <c r="AD31" s="22">
        <f>AD20*Assumptions!C44</f>
        <v>264.99150768923766</v>
      </c>
      <c r="AE31" s="22">
        <f>AE20*Assumptions!C44</f>
        <v>285.26744456361547</v>
      </c>
      <c r="AF31" s="22">
        <f>AF20*Assumptions!C44</f>
        <v>305.16982832070653</v>
      </c>
      <c r="AG31" s="22">
        <f>AG20*Assumptions!C44</f>
        <v>324.70554110520766</v>
      </c>
      <c r="AH31" s="22">
        <f>AH20*Assumptions!C44</f>
        <v>343.88133826882853</v>
      </c>
      <c r="AI31" s="22">
        <f>AI20*Assumptions!C44</f>
        <v>362.70385070625849</v>
      </c>
      <c r="AJ31" s="22">
        <f>AJ20*Assumptions!C44</f>
        <v>381.17958714809646</v>
      </c>
      <c r="AK31" s="22">
        <f>AK20*Assumptions!C44</f>
        <v>399.31493641153781</v>
      </c>
      <c r="AL31" s="22">
        <f t="shared" si="9"/>
        <v>90.465376325858315</v>
      </c>
      <c r="AM31" s="22">
        <f t="shared" si="10"/>
        <v>1236.3115191622396</v>
      </c>
      <c r="AN31" s="22">
        <f t="shared" si="11"/>
        <v>3516.7014568895243</v>
      </c>
    </row>
    <row r="32" spans="1:41" ht="15" customHeight="1" x14ac:dyDescent="0.2">
      <c r="A32" s="9" t="s">
        <v>161</v>
      </c>
      <c r="B32" s="22">
        <f>0</f>
        <v>0</v>
      </c>
      <c r="C32" s="22">
        <f>0</f>
        <v>0</v>
      </c>
      <c r="D32" s="22">
        <f>0</f>
        <v>0</v>
      </c>
      <c r="E32" s="22">
        <f>0</f>
        <v>0</v>
      </c>
      <c r="F32" s="22">
        <f>0</f>
        <v>0</v>
      </c>
      <c r="G32" s="22">
        <f>MIN(Assumptions!C48,Assumptions!C46+(G15/500)*Assumptions!C47)</f>
        <v>467.08551950758408</v>
      </c>
      <c r="H32" s="22">
        <f>MIN(Assumptions!C48,Assumptions!C46+(H15/500)*Assumptions!C47)</f>
        <v>489.37183844282083</v>
      </c>
      <c r="I32" s="22">
        <f>MIN(Assumptions!C48,Assumptions!C46+(I15/500)*Assumptions!C47)</f>
        <v>510.32939477788432</v>
      </c>
      <c r="J32" s="22">
        <f>MIN(Assumptions!C48,Assumptions!C46+(J15/500)*Assumptions!C47)</f>
        <v>530.10205375140185</v>
      </c>
      <c r="K32" s="22">
        <f>MIN(Assumptions!C48,Assumptions!C46+(K15/500)*Assumptions!C47)</f>
        <v>548.82218533156527</v>
      </c>
      <c r="L32" s="22">
        <f>MIN(Assumptions!C48,Assumptions!C46+(L15/500)*Assumptions!C47)</f>
        <v>566.6121517457924</v>
      </c>
      <c r="M32" s="22">
        <f>MIN(Assumptions!C48,Assumptions!C46+(M15/500)*Assumptions!C47)</f>
        <v>583.58567231580014</v>
      </c>
      <c r="N32" s="22">
        <f>MIN(Assumptions!C48,Assumptions!C46+(N15/500)*Assumptions!C47)</f>
        <v>631.28939342380818</v>
      </c>
      <c r="O32" s="22">
        <f>MIN(Assumptions!C48,Assumptions!C46+(O15/500)*Assumptions!C47)</f>
        <v>676.61330546314514</v>
      </c>
      <c r="P32" s="22">
        <f>MIN(Assumptions!C48,Assumptions!C46+(P15/500)*Assumptions!C47)</f>
        <v>719.79474177911993</v>
      </c>
      <c r="Q32" s="22">
        <f>MIN(Assumptions!C48,Assumptions!C46+(Q15/500)*Assumptions!C47)</f>
        <v>761.05446930138942</v>
      </c>
      <c r="R32" s="22">
        <f>MIN(Assumptions!C48,Assumptions!C46+(R15/500)*Assumptions!C47)</f>
        <v>800.59889287685405</v>
      </c>
      <c r="S32" s="22">
        <f>MIN(Assumptions!C48,Assumptions!C46+(S15/500)*Assumptions!C47)</f>
        <v>838.62210518913196</v>
      </c>
      <c r="T32" s="22">
        <f>MIN(Assumptions!C48,Assumptions!C46+(T15/500)*Assumptions!C47)</f>
        <v>875.30780600113212</v>
      </c>
      <c r="U32" s="22">
        <f>MIN(Assumptions!C48,Assumptions!C46+(U15/500)*Assumptions!C47)</f>
        <v>910.83111280974526</v>
      </c>
      <c r="V32" s="22">
        <f>MIN(Assumptions!C48,Assumptions!C46+(V15/500)*Assumptions!C47)</f>
        <v>945.36028363297703</v>
      </c>
      <c r="W32" s="22">
        <f>MIN(Assumptions!C48,Assumptions!C46+(W15/500)*Assumptions!C47)</f>
        <v>979.0583715402762</v>
      </c>
      <c r="X32" s="22">
        <f>MIN(Assumptions!C48,Assumptions!C46+(X15/500)*Assumptions!C47)</f>
        <v>1012.0848296702384</v>
      </c>
      <c r="Y32" s="22">
        <f>MIN(Assumptions!C48,Assumptions!C46+(Y15/500)*Assumptions!C47)</f>
        <v>1044.4475484649577</v>
      </c>
      <c r="Z32" s="22">
        <f>MIN(Assumptions!C48,Assumptions!C46+(Z15/500)*Assumptions!C47)</f>
        <v>1131.1618589904676</v>
      </c>
      <c r="AA32" s="22">
        <f>MIN(Assumptions!C48,Assumptions!C46+(AA15/500)*Assumptions!C47)</f>
        <v>1215.1655991620005</v>
      </c>
      <c r="AB32" s="22">
        <f>MIN(Assumptions!C48,Assumptions!C46+(AB15/500)*Assumptions!C47)</f>
        <v>1296.7478430182473</v>
      </c>
      <c r="AC32" s="22">
        <f>MIN(Assumptions!C48,Assumptions!C46+(AC15/500)*Assumptions!C47)</f>
        <v>1376.1959443344156</v>
      </c>
      <c r="AD32" s="22">
        <f>MIN(Assumptions!C48,Assumptions!C46+(AD15/500)*Assumptions!C47)</f>
        <v>1453.7974218845775</v>
      </c>
      <c r="AE32" s="22">
        <f>MIN(Assumptions!C48,Assumptions!C46+(AE15/500)*Assumptions!C47)</f>
        <v>1529.8419189949132</v>
      </c>
      <c r="AF32" s="22">
        <f>MIN(Assumptions!C48,Assumptions!C46+(AF15/500)*Assumptions!C47)</f>
        <v>1604.6232542452535</v>
      </c>
      <c r="AG32" s="22">
        <f>MIN(Assumptions!C48,Assumptions!C46+(AG15/500)*Assumptions!C47)</f>
        <v>1678.4415814587601</v>
      </c>
      <c r="AH32" s="22">
        <f>MIN(Assumptions!C48,Assumptions!C46+(AH15/500)*Assumptions!C47)</f>
        <v>1751.6056785808939</v>
      </c>
      <c r="AI32" s="22">
        <f>MIN(Assumptions!C48,Assumptions!C46+(AI15/500)*Assumptions!C47)</f>
        <v>1824.4353867062473</v>
      </c>
      <c r="AJ32" s="22">
        <f>MIN(Assumptions!C48,Assumptions!C46+(AJ15/500)*Assumptions!C47)</f>
        <v>1897.2642223845266</v>
      </c>
      <c r="AK32" s="22">
        <f>MIN(Assumptions!C48,Assumptions!C46+(AK15/500)*Assumptions!C47)</f>
        <v>1970.4421884464798</v>
      </c>
      <c r="AL32" s="22">
        <f t="shared" si="9"/>
        <v>3695.9088158728491</v>
      </c>
      <c r="AM32" s="22">
        <f t="shared" si="10"/>
        <v>10195.062860152775</v>
      </c>
      <c r="AN32" s="22">
        <f t="shared" si="11"/>
        <v>18729.722898206783</v>
      </c>
    </row>
    <row r="33" spans="1:41" ht="15" customHeight="1" x14ac:dyDescent="0.2">
      <c r="A33" s="9" t="s">
        <v>162</v>
      </c>
      <c r="B33" s="22">
        <f>80</f>
        <v>80</v>
      </c>
      <c r="C33" s="22">
        <f>80</f>
        <v>80</v>
      </c>
      <c r="D33" s="22">
        <f>MIN(Assumptions!C71,Assumptions!C69+(D15/400)*Assumptions!C70)</f>
        <v>611.05308000000002</v>
      </c>
      <c r="E33" s="22">
        <f>MIN(Assumptions!C71,Assumptions!C69+(E15/400)*Assumptions!C70)</f>
        <v>689.98625089739994</v>
      </c>
      <c r="F33" s="22">
        <f>MIN(Assumptions!C71,Assumptions!C69+(F15/400)*Assumptions!C70)</f>
        <v>762.42543065586085</v>
      </c>
      <c r="G33" s="22">
        <f>MIN(Assumptions!C71,Assumptions!C69+(G15/400)*Assumptions!C70)</f>
        <v>851.57069815344028</v>
      </c>
      <c r="H33" s="22">
        <f>MIN(Assumptions!C71,Assumptions!C69+(H15/400)*Assumptions!C70)</f>
        <v>935.14439416057826</v>
      </c>
      <c r="I33" s="22">
        <f>MIN(Assumptions!C71,Assumptions!C69+(I15/400)*Assumptions!C70)</f>
        <v>1013.7352304170661</v>
      </c>
      <c r="J33" s="22">
        <f>MIN(Assumptions!C71,Assumptions!C69+(J15/400)*Assumptions!C70)</f>
        <v>1087.8827015677571</v>
      </c>
      <c r="K33" s="22">
        <f>MIN(Assumptions!C71,Assumptions!C69+(K15/400)*Assumptions!C70)</f>
        <v>1158.0831949933697</v>
      </c>
      <c r="L33" s="22">
        <f>MIN(Assumptions!C71,Assumptions!C69+(L15/400)*Assumptions!C70)</f>
        <v>1224.7955690467215</v>
      </c>
      <c r="M33" s="22">
        <f>MIN(Assumptions!C71,Assumptions!C69+(M15/400)*Assumptions!C70)</f>
        <v>1288.4462711842507</v>
      </c>
      <c r="N33" s="22">
        <f>MIN(Assumptions!C71,Assumptions!C69+(N15/400)*Assumptions!C70)</f>
        <v>1467.3352253392804</v>
      </c>
      <c r="O33" s="22">
        <f>MIN(Assumptions!C71,Assumptions!C69+(O15/400)*Assumptions!C70)</f>
        <v>1637.2998954867942</v>
      </c>
      <c r="P33" s="22">
        <f>MIN(Assumptions!C71,Assumptions!C69+(P15/400)*Assumptions!C70)</f>
        <v>1799.2302816716997</v>
      </c>
      <c r="Q33" s="22">
        <f>MIN(Assumptions!C71,Assumptions!C69+(Q15/400)*Assumptions!C70)</f>
        <v>1953.9542598802102</v>
      </c>
      <c r="R33" s="22">
        <f>MIN(Assumptions!C71,Assumptions!C69+(R15/400)*Assumptions!C70)</f>
        <v>2102.245848288203</v>
      </c>
      <c r="S33" s="22">
        <f>MIN(Assumptions!C71,Assumptions!C69+(S15/400)*Assumptions!C70)</f>
        <v>2244.8328944592449</v>
      </c>
      <c r="T33" s="22">
        <f>MIN(Assumptions!C71,Assumptions!C69+(T15/400)*Assumptions!C70)</f>
        <v>2382.4042725042455</v>
      </c>
      <c r="U33" s="22">
        <f>MIN(Assumptions!C71,Assumptions!C69+(U15/400)*Assumptions!C70)</f>
        <v>2515.6166730365449</v>
      </c>
      <c r="V33" s="22">
        <f>MIN(Assumptions!C71,Assumptions!C69+(V15/400)*Assumptions!C70)</f>
        <v>2645.1010636236642</v>
      </c>
      <c r="W33" s="22">
        <f>MIN(Assumptions!C71,Assumptions!C69+(W15/400)*Assumptions!C70)</f>
        <v>2771.4688932760355</v>
      </c>
      <c r="X33" s="22">
        <f>MIN(Assumptions!C71,Assumptions!C69+(X15/400)*Assumptions!C70)</f>
        <v>2895.3181112633938</v>
      </c>
      <c r="Y33" s="22">
        <f>MIN(Assumptions!C71,Assumptions!C69+(Y15/400)*Assumptions!C70)</f>
        <v>3016.6783067435908</v>
      </c>
      <c r="Z33" s="22">
        <f>MIN(Assumptions!C71,Assumptions!C69+(Z15/400)*Assumptions!C70)</f>
        <v>3341.8569712142539</v>
      </c>
      <c r="AA33" s="22">
        <f>MIN(Assumptions!C71,Assumptions!C69+(AA15/400)*Assumptions!C70)</f>
        <v>3656.8709968575017</v>
      </c>
      <c r="AB33" s="22">
        <f>MIN(Assumptions!C71,Assumptions!C69+(AB15/400)*Assumptions!C70)</f>
        <v>3962.8044113184274</v>
      </c>
      <c r="AC33" s="22">
        <f>MIN(Assumptions!C71,Assumptions!C69+(AC15/400)*Assumptions!C70)</f>
        <v>4260.7347912540581</v>
      </c>
      <c r="AD33" s="22">
        <f>MIN(Assumptions!C71,Assumptions!C69+(AD15/400)*Assumptions!C70)</f>
        <v>4551.7403320671656</v>
      </c>
      <c r="AE33" s="22">
        <f>MIN(Assumptions!C71,Assumptions!C69+(AE15/400)*Assumptions!C70)</f>
        <v>4836.9071962309245</v>
      </c>
      <c r="AF33" s="22">
        <f>MIN(Assumptions!C71,Assumptions!C69+(AF15/400)*Assumptions!C70)</f>
        <v>5117.3372034197009</v>
      </c>
      <c r="AG33" s="22">
        <f>MIN(Assumptions!C71,Assumptions!C69+(AG15/400)*Assumptions!C70)</f>
        <v>5394.1559304703505</v>
      </c>
      <c r="AH33" s="22">
        <f>MIN(Assumptions!C71,Assumptions!C69+(AH15/400)*Assumptions!C70)</f>
        <v>5668.5212946783522</v>
      </c>
      <c r="AI33" s="22">
        <f>MIN(Assumptions!C71,Assumptions!C69+(AI15/400)*Assumptions!C70)</f>
        <v>5941.6327001484269</v>
      </c>
      <c r="AJ33" s="22">
        <f>MIN(Assumptions!C71,Assumptions!C69+(AJ15/400)*Assumptions!C70)</f>
        <v>6214.7408339419753</v>
      </c>
      <c r="AK33" s="22">
        <f>MIN(Assumptions!C71,Assumptions!C69+(AK15/400)*Assumptions!C70)</f>
        <v>6489.1582066742994</v>
      </c>
      <c r="AL33" s="22">
        <f t="shared" si="9"/>
        <v>9783.1228210764457</v>
      </c>
      <c r="AM33" s="22">
        <f t="shared" si="10"/>
        <v>27431.485725572908</v>
      </c>
      <c r="AN33" s="22">
        <f t="shared" si="11"/>
        <v>59436.460868275433</v>
      </c>
    </row>
    <row r="34" spans="1:41" ht="15" customHeight="1" x14ac:dyDescent="0.2">
      <c r="A34" s="9" t="s">
        <v>163</v>
      </c>
      <c r="B34" s="22">
        <v>900</v>
      </c>
      <c r="C34" s="22">
        <v>900</v>
      </c>
      <c r="D34" s="22">
        <v>900</v>
      </c>
      <c r="E34" s="22">
        <v>900</v>
      </c>
      <c r="F34" s="22">
        <v>900</v>
      </c>
      <c r="G34" s="22">
        <v>900</v>
      </c>
      <c r="H34" s="22">
        <v>900</v>
      </c>
      <c r="I34" s="22">
        <v>900</v>
      </c>
      <c r="J34" s="22">
        <v>900</v>
      </c>
      <c r="K34" s="22">
        <v>900</v>
      </c>
      <c r="L34" s="22">
        <v>900</v>
      </c>
      <c r="M34" s="22">
        <v>900</v>
      </c>
      <c r="N34" s="22">
        <f>Assumptions!C55</f>
        <v>6000</v>
      </c>
      <c r="O34" s="22">
        <f>Assumptions!C55</f>
        <v>6000</v>
      </c>
      <c r="P34" s="22">
        <f>Assumptions!C55</f>
        <v>6000</v>
      </c>
      <c r="Q34" s="22">
        <f>Assumptions!C55</f>
        <v>6000</v>
      </c>
      <c r="R34" s="22">
        <f>Assumptions!C55</f>
        <v>6000</v>
      </c>
      <c r="S34" s="22">
        <f>Assumptions!C55</f>
        <v>6000</v>
      </c>
      <c r="T34" s="22">
        <f>Assumptions!C55</f>
        <v>6000</v>
      </c>
      <c r="U34" s="22">
        <f>Assumptions!C55</f>
        <v>6000</v>
      </c>
      <c r="V34" s="22">
        <f>Assumptions!C55</f>
        <v>6000</v>
      </c>
      <c r="W34" s="22">
        <f>Assumptions!C55</f>
        <v>6000</v>
      </c>
      <c r="X34" s="22">
        <f>Assumptions!C55</f>
        <v>6000</v>
      </c>
      <c r="Y34" s="22">
        <f>Assumptions!C55</f>
        <v>6000</v>
      </c>
      <c r="Z34" s="22">
        <f>Assumptions!C55</f>
        <v>6000</v>
      </c>
      <c r="AA34" s="22">
        <f>Assumptions!C55</f>
        <v>6000</v>
      </c>
      <c r="AB34" s="22">
        <f>Assumptions!C55</f>
        <v>6000</v>
      </c>
      <c r="AC34" s="22">
        <f>Assumptions!C55</f>
        <v>6000</v>
      </c>
      <c r="AD34" s="22">
        <f>Assumptions!C55</f>
        <v>6000</v>
      </c>
      <c r="AE34" s="22">
        <f>Assumptions!C55</f>
        <v>6000</v>
      </c>
      <c r="AF34" s="22">
        <f>Assumptions!C55</f>
        <v>6000</v>
      </c>
      <c r="AG34" s="22">
        <f>Assumptions!C55</f>
        <v>6000</v>
      </c>
      <c r="AH34" s="22">
        <f>Assumptions!C55</f>
        <v>6000</v>
      </c>
      <c r="AI34" s="22">
        <f>Assumptions!C55</f>
        <v>6000</v>
      </c>
      <c r="AJ34" s="22">
        <f>Assumptions!C55</f>
        <v>6000</v>
      </c>
      <c r="AK34" s="22">
        <f>Assumptions!C55</f>
        <v>6000</v>
      </c>
      <c r="AL34" s="22">
        <f t="shared" si="9"/>
        <v>10800</v>
      </c>
      <c r="AM34" s="22">
        <f t="shared" si="10"/>
        <v>72000</v>
      </c>
      <c r="AN34" s="22">
        <f t="shared" si="11"/>
        <v>72000</v>
      </c>
    </row>
    <row r="35" spans="1:41" ht="15" customHeight="1" x14ac:dyDescent="0.2">
      <c r="A35" s="9" t="s">
        <v>164</v>
      </c>
      <c r="B35" s="22">
        <f>0</f>
        <v>0</v>
      </c>
      <c r="C35" s="22">
        <f>0</f>
        <v>0</v>
      </c>
      <c r="D35" s="22">
        <f>Assumptions!C56</f>
        <v>5000</v>
      </c>
      <c r="E35" s="22">
        <f>Assumptions!C56</f>
        <v>5000</v>
      </c>
      <c r="F35" s="22">
        <f>Assumptions!C56</f>
        <v>5000</v>
      </c>
      <c r="G35" s="22">
        <f>Assumptions!C56</f>
        <v>5000</v>
      </c>
      <c r="H35" s="22">
        <f>Assumptions!C57</f>
        <v>9000</v>
      </c>
      <c r="I35" s="22">
        <f>Assumptions!C57</f>
        <v>9000</v>
      </c>
      <c r="J35" s="22">
        <f>Assumptions!C57</f>
        <v>9000</v>
      </c>
      <c r="K35" s="22">
        <f>Assumptions!C57</f>
        <v>9000</v>
      </c>
      <c r="L35" s="22">
        <f>Assumptions!C57</f>
        <v>9000</v>
      </c>
      <c r="M35" s="22">
        <f>Assumptions!C57</f>
        <v>9000</v>
      </c>
      <c r="N35" s="22">
        <f>Assumptions!C58</f>
        <v>30000</v>
      </c>
      <c r="O35" s="22">
        <f>Assumptions!C58</f>
        <v>30000</v>
      </c>
      <c r="P35" s="22">
        <f>Assumptions!C58</f>
        <v>30000</v>
      </c>
      <c r="Q35" s="22">
        <f>Assumptions!C58</f>
        <v>30000</v>
      </c>
      <c r="R35" s="22">
        <f>Assumptions!C58</f>
        <v>30000</v>
      </c>
      <c r="S35" s="22">
        <f>Assumptions!C58</f>
        <v>30000</v>
      </c>
      <c r="T35" s="22">
        <f>Assumptions!C58</f>
        <v>30000</v>
      </c>
      <c r="U35" s="22">
        <f>Assumptions!C58</f>
        <v>30000</v>
      </c>
      <c r="V35" s="22">
        <f>Assumptions!C58</f>
        <v>30000</v>
      </c>
      <c r="W35" s="22">
        <f>Assumptions!C58</f>
        <v>30000</v>
      </c>
      <c r="X35" s="22">
        <f>Assumptions!C58</f>
        <v>30000</v>
      </c>
      <c r="Y35" s="22">
        <f>Assumptions!C58</f>
        <v>30000</v>
      </c>
      <c r="Z35" s="22">
        <f>Assumptions!C59</f>
        <v>48000</v>
      </c>
      <c r="AA35" s="22">
        <f>Assumptions!C59</f>
        <v>48000</v>
      </c>
      <c r="AB35" s="22">
        <f>Assumptions!C59</f>
        <v>48000</v>
      </c>
      <c r="AC35" s="22">
        <f>Assumptions!C59</f>
        <v>48000</v>
      </c>
      <c r="AD35" s="22">
        <f>Assumptions!C59</f>
        <v>48000</v>
      </c>
      <c r="AE35" s="22">
        <f>Assumptions!C59</f>
        <v>48000</v>
      </c>
      <c r="AF35" s="22">
        <f>Assumptions!C59</f>
        <v>48000</v>
      </c>
      <c r="AG35" s="22">
        <f>Assumptions!C59</f>
        <v>48000</v>
      </c>
      <c r="AH35" s="22">
        <f>Assumptions!C59</f>
        <v>48000</v>
      </c>
      <c r="AI35" s="22">
        <f>Assumptions!C59</f>
        <v>48000</v>
      </c>
      <c r="AJ35" s="22">
        <f>Assumptions!C59</f>
        <v>48000</v>
      </c>
      <c r="AK35" s="22">
        <f>Assumptions!C59</f>
        <v>48000</v>
      </c>
      <c r="AL35" s="22">
        <f t="shared" si="9"/>
        <v>74000</v>
      </c>
      <c r="AM35" s="22">
        <f t="shared" si="10"/>
        <v>360000</v>
      </c>
      <c r="AN35" s="22">
        <f t="shared" si="11"/>
        <v>576000</v>
      </c>
    </row>
    <row r="36" spans="1:41" ht="15" customHeight="1" x14ac:dyDescent="0.2">
      <c r="A36" s="9" t="s">
        <v>165</v>
      </c>
      <c r="B36" s="22">
        <f>Assumptions!C60</f>
        <v>1200</v>
      </c>
      <c r="C36" s="22">
        <f>Assumptions!C60</f>
        <v>1200</v>
      </c>
      <c r="D36" s="22">
        <f>Assumptions!C60</f>
        <v>1200</v>
      </c>
      <c r="E36" s="22">
        <f>Assumptions!C60+Assumptions!C12</f>
        <v>5200</v>
      </c>
      <c r="F36" s="22">
        <f>Assumptions!C60+Assumptions!C12</f>
        <v>5200</v>
      </c>
      <c r="G36" s="22">
        <f>Assumptions!C60+Assumptions!C12</f>
        <v>5200</v>
      </c>
      <c r="H36" s="22">
        <f>Assumptions!C60+Assumptions!C12</f>
        <v>5200</v>
      </c>
      <c r="I36" s="22">
        <f>Assumptions!C60+Assumptions!C12</f>
        <v>5200</v>
      </c>
      <c r="J36" s="22">
        <f>Assumptions!C60+Assumptions!C12</f>
        <v>5200</v>
      </c>
      <c r="K36" s="22">
        <f>Assumptions!C60+Assumptions!C12</f>
        <v>5200</v>
      </c>
      <c r="L36" s="22">
        <f>Assumptions!C60+Assumptions!C12</f>
        <v>5200</v>
      </c>
      <c r="M36" s="22">
        <f>Assumptions!C60+Assumptions!C12</f>
        <v>5200</v>
      </c>
      <c r="N36" s="22">
        <f>Assumptions!C61+Assumptions!C13</f>
        <v>12000</v>
      </c>
      <c r="O36" s="22">
        <f>Assumptions!C61+Assumptions!C13</f>
        <v>12000</v>
      </c>
      <c r="P36" s="22">
        <f>Assumptions!C61+Assumptions!C13</f>
        <v>12000</v>
      </c>
      <c r="Q36" s="22">
        <f>Assumptions!C61+Assumptions!C13</f>
        <v>12000</v>
      </c>
      <c r="R36" s="22">
        <f>Assumptions!C61+Assumptions!C13</f>
        <v>12000</v>
      </c>
      <c r="S36" s="22">
        <f>Assumptions!C61+Assumptions!C13</f>
        <v>12000</v>
      </c>
      <c r="T36" s="22">
        <f>Assumptions!C61+Assumptions!C13</f>
        <v>12000</v>
      </c>
      <c r="U36" s="22">
        <f>Assumptions!C61+Assumptions!C13</f>
        <v>12000</v>
      </c>
      <c r="V36" s="22">
        <f>Assumptions!C61+Assumptions!C13</f>
        <v>12000</v>
      </c>
      <c r="W36" s="22">
        <f>Assumptions!C61+Assumptions!C13</f>
        <v>12000</v>
      </c>
      <c r="X36" s="22">
        <f>Assumptions!C61+Assumptions!C13</f>
        <v>12000</v>
      </c>
      <c r="Y36" s="22">
        <f>Assumptions!C61+Assumptions!C13</f>
        <v>12000</v>
      </c>
      <c r="Z36" s="22">
        <f>Assumptions!C62+Assumptions!C14</f>
        <v>21000</v>
      </c>
      <c r="AA36" s="22">
        <f>Assumptions!C62+Assumptions!C14</f>
        <v>21000</v>
      </c>
      <c r="AB36" s="22">
        <f>Assumptions!C62+Assumptions!C14</f>
        <v>21000</v>
      </c>
      <c r="AC36" s="22">
        <f>Assumptions!C62+Assumptions!C14</f>
        <v>21000</v>
      </c>
      <c r="AD36" s="22">
        <f>Assumptions!C62+Assumptions!C14</f>
        <v>21000</v>
      </c>
      <c r="AE36" s="22">
        <f>Assumptions!C62+Assumptions!C14</f>
        <v>21000</v>
      </c>
      <c r="AF36" s="22">
        <f>Assumptions!C62+Assumptions!C14</f>
        <v>21000</v>
      </c>
      <c r="AG36" s="22">
        <f>Assumptions!C62+Assumptions!C14</f>
        <v>21000</v>
      </c>
      <c r="AH36" s="22">
        <f>Assumptions!C62+Assumptions!C14</f>
        <v>21000</v>
      </c>
      <c r="AI36" s="22">
        <f>Assumptions!C62+Assumptions!C14</f>
        <v>21000</v>
      </c>
      <c r="AJ36" s="22">
        <f>Assumptions!C62+Assumptions!C14</f>
        <v>21000</v>
      </c>
      <c r="AK36" s="22">
        <f>Assumptions!C62+Assumptions!C14</f>
        <v>21000</v>
      </c>
      <c r="AL36" s="22">
        <f t="shared" si="9"/>
        <v>50400</v>
      </c>
      <c r="AM36" s="22">
        <f t="shared" si="10"/>
        <v>144000</v>
      </c>
      <c r="AN36" s="22">
        <f t="shared" si="11"/>
        <v>252000</v>
      </c>
    </row>
    <row r="37" spans="1:41" ht="15" customHeight="1" x14ac:dyDescent="0.2">
      <c r="A37" s="9" t="s">
        <v>166</v>
      </c>
      <c r="B37" s="22">
        <f>0</f>
        <v>0</v>
      </c>
      <c r="C37" s="22">
        <f>0</f>
        <v>0</v>
      </c>
      <c r="D37" s="22">
        <f>Assumptions!C63</f>
        <v>900</v>
      </c>
      <c r="E37" s="22">
        <f>Assumptions!C63</f>
        <v>900</v>
      </c>
      <c r="F37" s="22">
        <f>Assumptions!C63</f>
        <v>900</v>
      </c>
      <c r="G37" s="22">
        <f>Assumptions!C63</f>
        <v>900</v>
      </c>
      <c r="H37" s="22">
        <f>Assumptions!C63</f>
        <v>900</v>
      </c>
      <c r="I37" s="22">
        <f>Assumptions!C63</f>
        <v>900</v>
      </c>
      <c r="J37" s="22">
        <f>Assumptions!C63</f>
        <v>900</v>
      </c>
      <c r="K37" s="22">
        <f>Assumptions!C63</f>
        <v>900</v>
      </c>
      <c r="L37" s="22">
        <f>Assumptions!C63</f>
        <v>900</v>
      </c>
      <c r="M37" s="22">
        <f>Assumptions!C63</f>
        <v>900</v>
      </c>
      <c r="N37" s="22">
        <f>Assumptions!C64</f>
        <v>1500</v>
      </c>
      <c r="O37" s="22">
        <f>Assumptions!C64</f>
        <v>1500</v>
      </c>
      <c r="P37" s="22">
        <f>Assumptions!C64</f>
        <v>1500</v>
      </c>
      <c r="Q37" s="22">
        <f>Assumptions!C64</f>
        <v>1500</v>
      </c>
      <c r="R37" s="22">
        <f>Assumptions!C64</f>
        <v>1500</v>
      </c>
      <c r="S37" s="22">
        <f>Assumptions!C64</f>
        <v>1500</v>
      </c>
      <c r="T37" s="22">
        <f>Assumptions!C64</f>
        <v>1500</v>
      </c>
      <c r="U37" s="22">
        <f>Assumptions!C64</f>
        <v>1500</v>
      </c>
      <c r="V37" s="22">
        <f>Assumptions!C64</f>
        <v>1500</v>
      </c>
      <c r="W37" s="22">
        <f>Assumptions!C64</f>
        <v>1500</v>
      </c>
      <c r="X37" s="22">
        <f>Assumptions!C64</f>
        <v>1500</v>
      </c>
      <c r="Y37" s="22">
        <f>Assumptions!C64</f>
        <v>1500</v>
      </c>
      <c r="Z37" s="22">
        <f>Assumptions!C65</f>
        <v>2200</v>
      </c>
      <c r="AA37" s="22">
        <f>Assumptions!C65</f>
        <v>2200</v>
      </c>
      <c r="AB37" s="22">
        <f>Assumptions!C65</f>
        <v>2200</v>
      </c>
      <c r="AC37" s="22">
        <f>Assumptions!C65</f>
        <v>2200</v>
      </c>
      <c r="AD37" s="22">
        <f>Assumptions!C65</f>
        <v>2200</v>
      </c>
      <c r="AE37" s="22">
        <f>Assumptions!C65</f>
        <v>2200</v>
      </c>
      <c r="AF37" s="22">
        <f>Assumptions!C65</f>
        <v>2200</v>
      </c>
      <c r="AG37" s="22">
        <f>Assumptions!C65</f>
        <v>2200</v>
      </c>
      <c r="AH37" s="22">
        <f>Assumptions!C65</f>
        <v>2200</v>
      </c>
      <c r="AI37" s="22">
        <f>Assumptions!C65</f>
        <v>2200</v>
      </c>
      <c r="AJ37" s="22">
        <f>Assumptions!C65</f>
        <v>2200</v>
      </c>
      <c r="AK37" s="22">
        <f>Assumptions!C65</f>
        <v>2200</v>
      </c>
      <c r="AL37" s="22">
        <f t="shared" si="9"/>
        <v>9000</v>
      </c>
      <c r="AM37" s="22">
        <f t="shared" si="10"/>
        <v>18000</v>
      </c>
      <c r="AN37" s="22">
        <f t="shared" si="11"/>
        <v>26400</v>
      </c>
    </row>
    <row r="38" spans="1:41" ht="15" customHeight="1" x14ac:dyDescent="0.2">
      <c r="A38" s="9" t="s">
        <v>167</v>
      </c>
      <c r="B38" s="22">
        <f>Assumptions!C66</f>
        <v>800</v>
      </c>
      <c r="C38" s="22">
        <f>Assumptions!C66</f>
        <v>800</v>
      </c>
      <c r="D38" s="22">
        <f>Assumptions!C66</f>
        <v>800</v>
      </c>
      <c r="E38" s="22">
        <f>Assumptions!C67</f>
        <v>350</v>
      </c>
      <c r="F38" s="22">
        <f>Assumptions!C67</f>
        <v>350</v>
      </c>
      <c r="G38" s="22">
        <f>Assumptions!C67</f>
        <v>350</v>
      </c>
      <c r="H38" s="22">
        <f>Assumptions!C67</f>
        <v>350</v>
      </c>
      <c r="I38" s="22">
        <f>Assumptions!C67</f>
        <v>350</v>
      </c>
      <c r="J38" s="22">
        <f>Assumptions!C67</f>
        <v>350</v>
      </c>
      <c r="K38" s="22">
        <f>Assumptions!C67</f>
        <v>350</v>
      </c>
      <c r="L38" s="22">
        <f>Assumptions!C67</f>
        <v>350</v>
      </c>
      <c r="M38" s="22">
        <f>Assumptions!C67</f>
        <v>350</v>
      </c>
      <c r="N38" s="22">
        <f>Assumptions!C67</f>
        <v>350</v>
      </c>
      <c r="O38" s="22">
        <f>Assumptions!C67</f>
        <v>350</v>
      </c>
      <c r="P38" s="22">
        <f>Assumptions!C67</f>
        <v>350</v>
      </c>
      <c r="Q38" s="22">
        <f>Assumptions!C67</f>
        <v>350</v>
      </c>
      <c r="R38" s="22">
        <f>Assumptions!C67</f>
        <v>350</v>
      </c>
      <c r="S38" s="22">
        <f>Assumptions!C67</f>
        <v>350</v>
      </c>
      <c r="T38" s="22">
        <f>Assumptions!C67</f>
        <v>350</v>
      </c>
      <c r="U38" s="22">
        <f>Assumptions!C67</f>
        <v>350</v>
      </c>
      <c r="V38" s="22">
        <f>Assumptions!C67</f>
        <v>350</v>
      </c>
      <c r="W38" s="22">
        <f>Assumptions!C67</f>
        <v>350</v>
      </c>
      <c r="X38" s="22">
        <f>Assumptions!C67</f>
        <v>350</v>
      </c>
      <c r="Y38" s="22">
        <f>Assumptions!C67</f>
        <v>350</v>
      </c>
      <c r="Z38" s="22">
        <f>Assumptions!C67</f>
        <v>350</v>
      </c>
      <c r="AA38" s="22">
        <f>Assumptions!C67</f>
        <v>350</v>
      </c>
      <c r="AB38" s="22">
        <f>Assumptions!C67</f>
        <v>350</v>
      </c>
      <c r="AC38" s="22">
        <f>Assumptions!C67</f>
        <v>350</v>
      </c>
      <c r="AD38" s="22">
        <f>Assumptions!C67</f>
        <v>350</v>
      </c>
      <c r="AE38" s="22">
        <f>Assumptions!C67</f>
        <v>350</v>
      </c>
      <c r="AF38" s="22">
        <f>Assumptions!C67</f>
        <v>350</v>
      </c>
      <c r="AG38" s="22">
        <f>Assumptions!C67</f>
        <v>350</v>
      </c>
      <c r="AH38" s="22">
        <f>Assumptions!C67</f>
        <v>350</v>
      </c>
      <c r="AI38" s="22">
        <f>Assumptions!C67</f>
        <v>350</v>
      </c>
      <c r="AJ38" s="22">
        <f>Assumptions!C67</f>
        <v>350</v>
      </c>
      <c r="AK38" s="22">
        <f>Assumptions!C67</f>
        <v>350</v>
      </c>
      <c r="AL38" s="22">
        <f t="shared" si="9"/>
        <v>5550</v>
      </c>
      <c r="AM38" s="22">
        <f t="shared" si="10"/>
        <v>4200</v>
      </c>
      <c r="AN38" s="22">
        <f t="shared" si="11"/>
        <v>4200</v>
      </c>
    </row>
    <row r="39" spans="1:41" ht="15" customHeight="1" x14ac:dyDescent="0.2">
      <c r="A39" s="9" t="s">
        <v>168</v>
      </c>
      <c r="B39" s="22">
        <f>0</f>
        <v>0</v>
      </c>
      <c r="C39" s="22">
        <f>0</f>
        <v>0</v>
      </c>
      <c r="D39" s="22">
        <f>0</f>
        <v>0</v>
      </c>
      <c r="E39" s="22">
        <f>Assumptions!C50/3</f>
        <v>2666.6666666666665</v>
      </c>
      <c r="F39" s="22">
        <f>Assumptions!C50/3</f>
        <v>2666.6666666666665</v>
      </c>
      <c r="G39" s="22">
        <f>Assumptions!C50/3</f>
        <v>2666.6666666666665</v>
      </c>
      <c r="H39" s="22">
        <f>0</f>
        <v>0</v>
      </c>
      <c r="I39" s="22">
        <f>0</f>
        <v>0</v>
      </c>
      <c r="J39" s="22">
        <f>0</f>
        <v>0</v>
      </c>
      <c r="K39" s="22">
        <f>0</f>
        <v>0</v>
      </c>
      <c r="L39" s="22">
        <f>0</f>
        <v>0</v>
      </c>
      <c r="M39" s="22">
        <f>0</f>
        <v>0</v>
      </c>
      <c r="N39" s="22">
        <f>0</f>
        <v>0</v>
      </c>
      <c r="O39" s="22">
        <f>0</f>
        <v>0</v>
      </c>
      <c r="P39" s="22">
        <f>0</f>
        <v>0</v>
      </c>
      <c r="Q39" s="22">
        <f>0</f>
        <v>0</v>
      </c>
      <c r="R39" s="22">
        <f>0</f>
        <v>0</v>
      </c>
      <c r="S39" s="22">
        <f>0</f>
        <v>0</v>
      </c>
      <c r="T39" s="22">
        <f>0</f>
        <v>0</v>
      </c>
      <c r="U39" s="22">
        <f>0</f>
        <v>0</v>
      </c>
      <c r="V39" s="22">
        <f>0</f>
        <v>0</v>
      </c>
      <c r="W39" s="22">
        <f>0</f>
        <v>0</v>
      </c>
      <c r="X39" s="22">
        <f>0</f>
        <v>0</v>
      </c>
      <c r="Y39" s="22">
        <f>0</f>
        <v>0</v>
      </c>
      <c r="Z39" s="22">
        <f>0</f>
        <v>0</v>
      </c>
      <c r="AA39" s="22">
        <f>0</f>
        <v>0</v>
      </c>
      <c r="AB39" s="22">
        <f>0</f>
        <v>0</v>
      </c>
      <c r="AC39" s="22">
        <f>0</f>
        <v>0</v>
      </c>
      <c r="AD39" s="22">
        <f>0</f>
        <v>0</v>
      </c>
      <c r="AE39" s="22">
        <f>0</f>
        <v>0</v>
      </c>
      <c r="AF39" s="22">
        <f>0</f>
        <v>0</v>
      </c>
      <c r="AG39" s="22">
        <f>0</f>
        <v>0</v>
      </c>
      <c r="AH39" s="22">
        <f>0</f>
        <v>0</v>
      </c>
      <c r="AI39" s="22">
        <f>0</f>
        <v>0</v>
      </c>
      <c r="AJ39" s="22">
        <f>0</f>
        <v>0</v>
      </c>
      <c r="AK39" s="22">
        <f>0</f>
        <v>0</v>
      </c>
      <c r="AL39" s="22">
        <f t="shared" si="9"/>
        <v>8000</v>
      </c>
      <c r="AM39" s="22">
        <f t="shared" si="10"/>
        <v>0</v>
      </c>
      <c r="AN39" s="22">
        <f t="shared" si="11"/>
        <v>0</v>
      </c>
    </row>
    <row r="40" spans="1:41" ht="15" customHeight="1" x14ac:dyDescent="0.2">
      <c r="A40" s="9" t="s">
        <v>169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Assumptions!C51</f>
        <v>5000</v>
      </c>
      <c r="Q40" s="22">
        <f>0</f>
        <v>0</v>
      </c>
      <c r="R40" s="22">
        <f>0</f>
        <v>0</v>
      </c>
      <c r="S40" s="22">
        <f>0</f>
        <v>0</v>
      </c>
      <c r="T40" s="22">
        <f>0</f>
        <v>0</v>
      </c>
      <c r="U40" s="22">
        <f>0</f>
        <v>0</v>
      </c>
      <c r="V40" s="22">
        <f>0</f>
        <v>0</v>
      </c>
      <c r="W40" s="22">
        <f>0</f>
        <v>0</v>
      </c>
      <c r="X40" s="22">
        <f>0</f>
        <v>0</v>
      </c>
      <c r="Y40" s="22">
        <f>0</f>
        <v>0</v>
      </c>
      <c r="Z40" s="22">
        <f>0</f>
        <v>0</v>
      </c>
      <c r="AA40" s="22">
        <f>0</f>
        <v>0</v>
      </c>
      <c r="AB40" s="22">
        <f>0</f>
        <v>0</v>
      </c>
      <c r="AC40" s="22">
        <f>0</f>
        <v>0</v>
      </c>
      <c r="AD40" s="22">
        <f>0</f>
        <v>0</v>
      </c>
      <c r="AE40" s="22">
        <f>0</f>
        <v>0</v>
      </c>
      <c r="AF40" s="22">
        <f>0</f>
        <v>0</v>
      </c>
      <c r="AG40" s="22">
        <f>0</f>
        <v>0</v>
      </c>
      <c r="AH40" s="22">
        <f>0</f>
        <v>0</v>
      </c>
      <c r="AI40" s="22">
        <f>0</f>
        <v>0</v>
      </c>
      <c r="AJ40" s="22">
        <f>0</f>
        <v>0</v>
      </c>
      <c r="AK40" s="22">
        <f>0</f>
        <v>0</v>
      </c>
      <c r="AL40" s="22">
        <f t="shared" si="9"/>
        <v>0</v>
      </c>
      <c r="AM40" s="22">
        <f t="shared" si="10"/>
        <v>5000</v>
      </c>
      <c r="AN40" s="22">
        <f t="shared" si="11"/>
        <v>0</v>
      </c>
    </row>
    <row r="41" spans="1:41" ht="15" customHeight="1" x14ac:dyDescent="0.2">
      <c r="A41" s="9" t="s">
        <v>170</v>
      </c>
      <c r="B41" s="22">
        <f>0</f>
        <v>0</v>
      </c>
      <c r="C41" s="22">
        <f>0</f>
        <v>0</v>
      </c>
      <c r="D41" s="22">
        <f>0</f>
        <v>0</v>
      </c>
      <c r="E41" s="22">
        <f>0</f>
        <v>0</v>
      </c>
      <c r="F41" s="22">
        <f>0</f>
        <v>0</v>
      </c>
      <c r="G41" s="22">
        <f>0</f>
        <v>0</v>
      </c>
      <c r="H41" s="22">
        <f>0</f>
        <v>0</v>
      </c>
      <c r="I41" s="22">
        <f>0</f>
        <v>0</v>
      </c>
      <c r="J41" s="22">
        <f>0</f>
        <v>0</v>
      </c>
      <c r="K41" s="22">
        <f>0</f>
        <v>0</v>
      </c>
      <c r="L41" s="22">
        <f>0</f>
        <v>0</v>
      </c>
      <c r="M41" s="22">
        <f>0</f>
        <v>0</v>
      </c>
      <c r="N41" s="22">
        <f>0</f>
        <v>0</v>
      </c>
      <c r="O41" s="22">
        <f>0</f>
        <v>0</v>
      </c>
      <c r="P41" s="22">
        <f>0</f>
        <v>0</v>
      </c>
      <c r="Q41" s="22">
        <f>0</f>
        <v>0</v>
      </c>
      <c r="R41" s="22">
        <f>0</f>
        <v>0</v>
      </c>
      <c r="S41" s="22">
        <f>0</f>
        <v>0</v>
      </c>
      <c r="T41" s="22">
        <f>0</f>
        <v>0</v>
      </c>
      <c r="U41" s="22">
        <f>Assumptions!C52</f>
        <v>3000</v>
      </c>
      <c r="V41" s="22">
        <f>Assumptions!C52</f>
        <v>3000</v>
      </c>
      <c r="W41" s="22">
        <f>Assumptions!C52</f>
        <v>3000</v>
      </c>
      <c r="X41" s="22">
        <f>Assumptions!C52</f>
        <v>3000</v>
      </c>
      <c r="Y41" s="22">
        <f>0</f>
        <v>0</v>
      </c>
      <c r="Z41" s="22">
        <f>0</f>
        <v>0</v>
      </c>
      <c r="AA41" s="22">
        <f>0</f>
        <v>0</v>
      </c>
      <c r="AB41" s="22">
        <f>0</f>
        <v>0</v>
      </c>
      <c r="AC41" s="22">
        <f>0</f>
        <v>0</v>
      </c>
      <c r="AD41" s="22">
        <f>0</f>
        <v>0</v>
      </c>
      <c r="AE41" s="22">
        <f>0</f>
        <v>0</v>
      </c>
      <c r="AF41" s="22">
        <f>0</f>
        <v>0</v>
      </c>
      <c r="AG41" s="22">
        <f>0</f>
        <v>0</v>
      </c>
      <c r="AH41" s="22">
        <f>0</f>
        <v>0</v>
      </c>
      <c r="AI41" s="22">
        <f>0</f>
        <v>0</v>
      </c>
      <c r="AJ41" s="22">
        <f>0</f>
        <v>0</v>
      </c>
      <c r="AK41" s="22">
        <f>0</f>
        <v>0</v>
      </c>
      <c r="AL41" s="22">
        <f t="shared" si="9"/>
        <v>0</v>
      </c>
      <c r="AM41" s="22">
        <f t="shared" si="10"/>
        <v>12000</v>
      </c>
      <c r="AN41" s="22">
        <f t="shared" si="11"/>
        <v>0</v>
      </c>
    </row>
    <row r="42" spans="1:41" ht="15" customHeight="1" x14ac:dyDescent="0.2">
      <c r="A42" s="19" t="s">
        <v>171</v>
      </c>
      <c r="B42" s="23">
        <f t="shared" ref="B42:AK42" si="12">B30+B31+B32+B33+B34+B35+B36+B37+B38+B39+B40+B41</f>
        <v>2987.1855999999998</v>
      </c>
      <c r="C42" s="23">
        <f t="shared" si="12"/>
        <v>2990.8502559999997</v>
      </c>
      <c r="D42" s="23">
        <f t="shared" si="12"/>
        <v>9429.3415098400001</v>
      </c>
      <c r="E42" s="33">
        <f t="shared" si="12"/>
        <v>15807.49016979967</v>
      </c>
      <c r="F42" s="33">
        <f t="shared" si="12"/>
        <v>16030.998955512681</v>
      </c>
      <c r="G42" s="33">
        <f t="shared" si="12"/>
        <v>16729.387620879374</v>
      </c>
      <c r="H42" s="33">
        <f t="shared" si="12"/>
        <v>18299.748045651999</v>
      </c>
      <c r="I42" s="33">
        <f t="shared" si="12"/>
        <v>18520.689358145508</v>
      </c>
      <c r="J42" s="33">
        <f t="shared" si="12"/>
        <v>18727.340215080454</v>
      </c>
      <c r="K42" s="33">
        <f t="shared" si="12"/>
        <v>18921.349455278403</v>
      </c>
      <c r="L42" s="33">
        <f t="shared" si="12"/>
        <v>19104.238158704742</v>
      </c>
      <c r="M42" s="33">
        <f t="shared" si="12"/>
        <v>19277.416799750383</v>
      </c>
      <c r="N42" s="33">
        <f t="shared" si="12"/>
        <v>53214.402352440164</v>
      </c>
      <c r="O42" s="33">
        <f t="shared" si="12"/>
        <v>53691.396631732459</v>
      </c>
      <c r="P42" s="33">
        <f t="shared" si="12"/>
        <v>59155.754058841841</v>
      </c>
      <c r="Q42" s="33">
        <f t="shared" si="12"/>
        <v>54599.407103662343</v>
      </c>
      <c r="R42" s="33">
        <f t="shared" si="12"/>
        <v>55024.648800644158</v>
      </c>
      <c r="S42" s="33">
        <f t="shared" si="12"/>
        <v>55433.645405586503</v>
      </c>
      <c r="T42" s="33">
        <f t="shared" si="12"/>
        <v>55828.457692057913</v>
      </c>
      <c r="U42" s="33">
        <f t="shared" si="12"/>
        <v>59211.061141795799</v>
      </c>
      <c r="V42" s="33">
        <f t="shared" si="12"/>
        <v>59583.365262464205</v>
      </c>
      <c r="W42" s="33">
        <f t="shared" si="12"/>
        <v>59947.23225472866</v>
      </c>
      <c r="X42" s="33">
        <f t="shared" si="12"/>
        <v>60304.495241961653</v>
      </c>
      <c r="Y42" s="33">
        <f t="shared" si="12"/>
        <v>57655.706332190501</v>
      </c>
      <c r="Z42" s="33">
        <f t="shared" si="12"/>
        <v>86122.711970732475</v>
      </c>
      <c r="AA42" s="33">
        <f t="shared" si="12"/>
        <v>87016.236807624999</v>
      </c>
      <c r="AB42" s="33">
        <f t="shared" si="12"/>
        <v>87886.141701182321</v>
      </c>
      <c r="AC42" s="33">
        <f t="shared" si="12"/>
        <v>88735.518499494588</v>
      </c>
      <c r="AD42" s="33">
        <f t="shared" si="12"/>
        <v>89567.497865727782</v>
      </c>
      <c r="AE42" s="33">
        <f t="shared" si="12"/>
        <v>90385.270868875406</v>
      </c>
      <c r="AF42" s="33">
        <f t="shared" si="12"/>
        <v>91192.111898830583</v>
      </c>
      <c r="AG42" s="33">
        <f t="shared" si="12"/>
        <v>91991.403117450391</v>
      </c>
      <c r="AH42" s="33">
        <f t="shared" si="12"/>
        <v>92786.660676328538</v>
      </c>
      <c r="AI42" s="33">
        <f t="shared" si="12"/>
        <v>93581.56295340808</v>
      </c>
      <c r="AJ42" s="33">
        <f t="shared" si="12"/>
        <v>94379.981084594445</v>
      </c>
      <c r="AK42" s="33">
        <f t="shared" si="12"/>
        <v>95186.012093443103</v>
      </c>
      <c r="AL42" s="23">
        <f t="shared" si="9"/>
        <v>176826.03614464321</v>
      </c>
      <c r="AM42" s="23">
        <f t="shared" si="10"/>
        <v>683649.57227810624</v>
      </c>
      <c r="AN42" s="33">
        <f t="shared" si="11"/>
        <v>1088831.109537693</v>
      </c>
    </row>
    <row r="44" spans="1:41" ht="15" customHeight="1" x14ac:dyDescent="0.2">
      <c r="A44" s="6" t="s">
        <v>172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ht="27.75" customHeight="1" x14ac:dyDescent="0.2">
      <c r="A45" s="9" t="s">
        <v>173</v>
      </c>
      <c r="B45" s="18">
        <f t="shared" ref="B45:AK45" si="13">IF(B24=0,0,(B24-(B30+B31+B32))/B24)</f>
        <v>0.85</v>
      </c>
      <c r="C45" s="18">
        <f t="shared" si="13"/>
        <v>0.85</v>
      </c>
      <c r="D45" s="18">
        <f t="shared" si="13"/>
        <v>0.97059373299877583</v>
      </c>
      <c r="E45" s="18">
        <f t="shared" si="13"/>
        <v>0.91397961670218808</v>
      </c>
      <c r="F45" s="18">
        <f t="shared" si="13"/>
        <v>0.88441347196655062</v>
      </c>
      <c r="G45" s="18">
        <f t="shared" si="13"/>
        <v>0.75354543732081058</v>
      </c>
      <c r="H45" s="18">
        <f t="shared" si="13"/>
        <v>0.78557124263372702</v>
      </c>
      <c r="I45" s="18">
        <f t="shared" si="13"/>
        <v>0.80390862102067884</v>
      </c>
      <c r="J45" s="18">
        <f t="shared" si="13"/>
        <v>0.81597301151948065</v>
      </c>
      <c r="K45" s="18">
        <f t="shared" si="13"/>
        <v>0.82463462568015178</v>
      </c>
      <c r="L45" s="18">
        <f t="shared" si="13"/>
        <v>0.83123717975080758</v>
      </c>
      <c r="M45" s="18">
        <f t="shared" si="13"/>
        <v>0.83649283374311501</v>
      </c>
      <c r="N45" s="18">
        <f t="shared" si="13"/>
        <v>0.86202669232371421</v>
      </c>
      <c r="O45" s="18">
        <f t="shared" si="13"/>
        <v>0.86708565143230443</v>
      </c>
      <c r="P45" s="18">
        <f t="shared" si="13"/>
        <v>0.87070659534920802</v>
      </c>
      <c r="Q45" s="18">
        <f t="shared" si="13"/>
        <v>0.87350583406095583</v>
      </c>
      <c r="R45" s="18">
        <f t="shared" si="13"/>
        <v>0.87576834172666129</v>
      </c>
      <c r="S45" s="18">
        <f t="shared" si="13"/>
        <v>0.87765523529404099</v>
      </c>
      <c r="T45" s="18">
        <f t="shared" si="13"/>
        <v>0.87926419304547987</v>
      </c>
      <c r="U45" s="18">
        <f t="shared" si="13"/>
        <v>0.88065762353134669</v>
      </c>
      <c r="V45" s="18">
        <f t="shared" si="13"/>
        <v>0.88187702472467777</v>
      </c>
      <c r="W45" s="18">
        <f t="shared" si="13"/>
        <v>0.88295083375689232</v>
      </c>
      <c r="X45" s="18">
        <f t="shared" si="13"/>
        <v>0.88389896719853034</v>
      </c>
      <c r="Y45" s="18">
        <f t="shared" si="13"/>
        <v>0.88474229043129193</v>
      </c>
      <c r="Z45" s="18">
        <f t="shared" si="13"/>
        <v>0.88777175789754414</v>
      </c>
      <c r="AA45" s="18">
        <f t="shared" si="13"/>
        <v>0.88843224874878801</v>
      </c>
      <c r="AB45" s="18">
        <f t="shared" si="13"/>
        <v>0.88901394434841563</v>
      </c>
      <c r="AC45" s="18">
        <f t="shared" si="13"/>
        <v>0.88952901513589133</v>
      </c>
      <c r="AD45" s="18">
        <f t="shared" si="13"/>
        <v>0.88998470760141013</v>
      </c>
      <c r="AE45" s="18">
        <f t="shared" si="13"/>
        <v>0.89038523609904752</v>
      </c>
      <c r="AF45" s="18">
        <f t="shared" si="13"/>
        <v>0.89073284320275092</v>
      </c>
      <c r="AG45" s="18">
        <f t="shared" si="13"/>
        <v>0.89102842670555826</v>
      </c>
      <c r="AH45" s="18">
        <f t="shared" si="13"/>
        <v>0.89127192816669243</v>
      </c>
      <c r="AI45" s="18">
        <f t="shared" si="13"/>
        <v>0.8914625845368036</v>
      </c>
      <c r="AJ45" s="18">
        <f t="shared" si="13"/>
        <v>0.89159909863541309</v>
      </c>
      <c r="AK45" s="18">
        <f t="shared" si="13"/>
        <v>0.89167976058752141</v>
      </c>
      <c r="AL45" s="18">
        <f>IF(SUM(B24:M24)=0,0,(SUM(B24:M24)-(SUM(B30:M30)+SUM(B31:M31)+SUM(B32:M32)))/SUM(B24:M24))</f>
        <v>0.82255975928081582</v>
      </c>
      <c r="AM45" s="18">
        <f>IF(SUM(N24:Y24)=0,0,(SUM(N24:Y24)-(SUM(N30:Y30)+SUM(N31:Y31)+SUM(N32:Y32)))/SUM(N24:Y24))</f>
        <v>0.87872821013968583</v>
      </c>
      <c r="AN45" s="18">
        <f>IF(SUM(Z24:AK24)=0,0,(SUM(Z24:AK24)-(SUM(Z30:AK30)+SUM(Z31:AK31)+SUM(Z32:AK32)))/SUM(Z24:AK24))</f>
        <v>0.89052672083002082</v>
      </c>
      <c r="AO45" t="s">
        <v>174</v>
      </c>
    </row>
    <row r="46" spans="1:41" ht="15" customHeight="1" x14ac:dyDescent="0.2">
      <c r="A46" s="9" t="s">
        <v>175</v>
      </c>
      <c r="B46" s="22">
        <f t="shared" ref="B46:AK46" si="14">B24-B42</f>
        <v>-2939.2815999999998</v>
      </c>
      <c r="C46" s="22">
        <f t="shared" si="14"/>
        <v>-2918.5152159999998</v>
      </c>
      <c r="D46" s="22">
        <f t="shared" si="14"/>
        <v>-8807.4186442400005</v>
      </c>
      <c r="E46" s="34">
        <f t="shared" si="14"/>
        <v>-14635.241821562302</v>
      </c>
      <c r="F46" s="34">
        <f t="shared" si="14"/>
        <v>-13851.619900911652</v>
      </c>
      <c r="G46" s="34">
        <f t="shared" si="14"/>
        <v>-13235.23337720149</v>
      </c>
      <c r="H46" s="34">
        <f t="shared" si="14"/>
        <v>-13568.08955005972</v>
      </c>
      <c r="I46" s="34">
        <f t="shared" si="14"/>
        <v>-12620.612905266629</v>
      </c>
      <c r="J46" s="34">
        <f t="shared" si="14"/>
        <v>-11720.446692779544</v>
      </c>
      <c r="K46" s="34">
        <f t="shared" si="14"/>
        <v>-10862.368223855914</v>
      </c>
      <c r="L46" s="34">
        <f t="shared" si="14"/>
        <v>-10041.563172593033</v>
      </c>
      <c r="M46" s="22">
        <f t="shared" si="14"/>
        <v>-9253.5715696816442</v>
      </c>
      <c r="N46" s="34">
        <f t="shared" si="14"/>
        <v>-39464.879643657987</v>
      </c>
      <c r="O46" s="34">
        <f t="shared" si="14"/>
        <v>-37108.561445032661</v>
      </c>
      <c r="P46" s="34">
        <f t="shared" si="14"/>
        <v>-39769.43049547058</v>
      </c>
      <c r="Q46" s="34">
        <f t="shared" si="14"/>
        <v>-32499.94644451049</v>
      </c>
      <c r="R46" s="34">
        <f t="shared" si="14"/>
        <v>-30293.408832841858</v>
      </c>
      <c r="S46" s="34">
        <f t="shared" si="14"/>
        <v>-28143.450200653129</v>
      </c>
      <c r="T46" s="34">
        <f t="shared" si="14"/>
        <v>-26043.976101536358</v>
      </c>
      <c r="U46" s="34">
        <f t="shared" si="14"/>
        <v>-26989.10794674349</v>
      </c>
      <c r="V46" s="34">
        <f t="shared" si="14"/>
        <v>-24973.128013431393</v>
      </c>
      <c r="W46" s="34">
        <f t="shared" si="14"/>
        <v>-22990.425980106062</v>
      </c>
      <c r="X46" s="34">
        <f t="shared" si="14"/>
        <v>-21035.446374029874</v>
      </c>
      <c r="Y46" s="34">
        <f t="shared" si="14"/>
        <v>-16105.097324191374</v>
      </c>
      <c r="Z46" s="34">
        <f t="shared" si="14"/>
        <v>-39513.632994490079</v>
      </c>
      <c r="AA46" s="34">
        <f t="shared" si="14"/>
        <v>-34945.940995291021</v>
      </c>
      <c r="AB46" s="34">
        <f t="shared" si="14"/>
        <v>-30461.474679303996</v>
      </c>
      <c r="AC46" s="34">
        <f t="shared" si="14"/>
        <v>-26051.332993601114</v>
      </c>
      <c r="AD46" s="34">
        <f t="shared" si="14"/>
        <v>-21706.409003536872</v>
      </c>
      <c r="AE46" s="34">
        <f t="shared" si="14"/>
        <v>-17417.329434710802</v>
      </c>
      <c r="AF46" s="34">
        <f t="shared" si="14"/>
        <v>-13174.389599813963</v>
      </c>
      <c r="AG46" s="22">
        <f t="shared" si="14"/>
        <v>-8967.4830852570012</v>
      </c>
      <c r="AH46" s="22">
        <f t="shared" si="14"/>
        <v>-4786.0255108376732</v>
      </c>
      <c r="AI46" s="22">
        <f t="shared" si="14"/>
        <v>-618.8716068372305</v>
      </c>
      <c r="AJ46" s="22">
        <f t="shared" si="14"/>
        <v>3545.7752239257097</v>
      </c>
      <c r="AK46" s="22">
        <f t="shared" si="14"/>
        <v>7720.4617772624915</v>
      </c>
      <c r="AL46" s="22">
        <f>SUM(B46:M46)</f>
        <v>-124453.96267415193</v>
      </c>
      <c r="AM46" s="22">
        <f>SUM(N46:Y46)</f>
        <v>-345416.85880220524</v>
      </c>
      <c r="AN46" s="22">
        <f>SUM(Z46:AK46)</f>
        <v>-186376.65290249157</v>
      </c>
    </row>
    <row r="47" spans="1:41" ht="15" customHeight="1" x14ac:dyDescent="0.2">
      <c r="A47" s="9" t="s">
        <v>176</v>
      </c>
      <c r="B47" s="34">
        <f>Assumptions!C73</f>
        <v>350000</v>
      </c>
      <c r="C47" s="22">
        <f>IF(2=Assumptions!C74,Assumptions!C75,0)</f>
        <v>0</v>
      </c>
      <c r="D47" s="22">
        <f>IF(3=Assumptions!C74,Assumptions!C75,0)</f>
        <v>0</v>
      </c>
      <c r="E47" s="22">
        <f>IF(4=Assumptions!C74,Assumptions!C75,0)</f>
        <v>0</v>
      </c>
      <c r="F47" s="22">
        <f>IF(5=Assumptions!C74,Assumptions!C75,0)</f>
        <v>0</v>
      </c>
      <c r="G47" s="22">
        <f>IF(6=Assumptions!C74,Assumptions!C75,0)</f>
        <v>0</v>
      </c>
      <c r="H47" s="22">
        <f>IF(7=Assumptions!C74,Assumptions!C75,0)</f>
        <v>0</v>
      </c>
      <c r="I47" s="22">
        <f>IF(8=Assumptions!C74,Assumptions!C75,0)</f>
        <v>0</v>
      </c>
      <c r="J47" s="22">
        <f>IF(9=Assumptions!C74,Assumptions!C75,0)</f>
        <v>0</v>
      </c>
      <c r="K47" s="22">
        <f>IF(10=Assumptions!C74,Assumptions!C75,0)</f>
        <v>0</v>
      </c>
      <c r="L47" s="22">
        <f>IF(11=Assumptions!C74,Assumptions!C75,0)</f>
        <v>0</v>
      </c>
      <c r="M47" s="22">
        <f>IF(12=Assumptions!C74,Assumptions!C75,0)</f>
        <v>0</v>
      </c>
      <c r="N47" s="34">
        <f>IF(13=Assumptions!C74,Assumptions!C75,0)</f>
        <v>1500000</v>
      </c>
      <c r="O47" s="22">
        <f>IF(14=Assumptions!C74,Assumptions!C75,0)</f>
        <v>0</v>
      </c>
      <c r="P47" s="22">
        <f>IF(15=Assumptions!C74,Assumptions!C75,0)</f>
        <v>0</v>
      </c>
      <c r="Q47" s="22">
        <f>IF(16=Assumptions!C74,Assumptions!C75,0)</f>
        <v>0</v>
      </c>
      <c r="R47" s="22">
        <f>IF(17=Assumptions!C74,Assumptions!C75,0)</f>
        <v>0</v>
      </c>
      <c r="S47" s="22">
        <f>IF(18=Assumptions!C74,Assumptions!C75,0)</f>
        <v>0</v>
      </c>
      <c r="T47" s="22">
        <f>IF(19=Assumptions!C74,Assumptions!C75,0)</f>
        <v>0</v>
      </c>
      <c r="U47" s="22">
        <f>IF(20=Assumptions!C74,Assumptions!C75,0)</f>
        <v>0</v>
      </c>
      <c r="V47" s="22">
        <f>IF(21=Assumptions!C74,Assumptions!C75,0)</f>
        <v>0</v>
      </c>
      <c r="W47" s="22">
        <f>IF(22=Assumptions!C74,Assumptions!C75,0)</f>
        <v>0</v>
      </c>
      <c r="X47" s="22">
        <f>IF(23=Assumptions!C74,Assumptions!C75,0)</f>
        <v>0</v>
      </c>
      <c r="Y47" s="22">
        <f>IF(24=Assumptions!C74,Assumptions!C75,0)</f>
        <v>0</v>
      </c>
      <c r="Z47" s="22">
        <f>IF(25=Assumptions!C74,Assumptions!C75,0)</f>
        <v>0</v>
      </c>
      <c r="AA47" s="22">
        <f>IF(26=Assumptions!C74,Assumptions!C75,0)</f>
        <v>0</v>
      </c>
      <c r="AB47" s="22">
        <f>IF(27=Assumptions!C74,Assumptions!C75,0)</f>
        <v>0</v>
      </c>
      <c r="AC47" s="22">
        <f>IF(28=Assumptions!C74,Assumptions!C75,0)</f>
        <v>0</v>
      </c>
      <c r="AD47" s="22">
        <f>IF(29=Assumptions!C74,Assumptions!C75,0)</f>
        <v>0</v>
      </c>
      <c r="AE47" s="22">
        <f>IF(30=Assumptions!C74,Assumptions!C75,0)</f>
        <v>0</v>
      </c>
      <c r="AF47" s="22">
        <f>IF(31=Assumptions!C74,Assumptions!C75,0)</f>
        <v>0</v>
      </c>
      <c r="AG47" s="22">
        <f>IF(32=Assumptions!C74,Assumptions!C75,0)</f>
        <v>0</v>
      </c>
      <c r="AH47" s="22">
        <f>IF(33=Assumptions!C74,Assumptions!C75,0)</f>
        <v>0</v>
      </c>
      <c r="AI47" s="22">
        <f>IF(34=Assumptions!C74,Assumptions!C75,0)</f>
        <v>0</v>
      </c>
      <c r="AJ47" s="22">
        <f>IF(35=Assumptions!C74,Assumptions!C75,0)</f>
        <v>0</v>
      </c>
      <c r="AK47" s="22">
        <f>IF(36=Assumptions!C74,Assumptions!C75,0)</f>
        <v>0</v>
      </c>
      <c r="AL47" s="22">
        <f>SUM(B47:M47)</f>
        <v>350000</v>
      </c>
      <c r="AM47" s="22">
        <f>SUM(N47:Y47)</f>
        <v>1500000</v>
      </c>
      <c r="AN47" s="22">
        <f>SUM(Z47:AK47)</f>
        <v>0</v>
      </c>
      <c r="AO47" t="s">
        <v>177</v>
      </c>
    </row>
    <row r="48" spans="1:41" ht="15" customHeight="1" x14ac:dyDescent="0.2">
      <c r="A48" s="19" t="s">
        <v>178</v>
      </c>
      <c r="B48" s="35">
        <f>B46+B47</f>
        <v>347060.71840000001</v>
      </c>
      <c r="C48" s="35">
        <f t="shared" ref="C48:AK48" si="15">B48+C46+C47</f>
        <v>344142.20318399998</v>
      </c>
      <c r="D48" s="35">
        <f t="shared" si="15"/>
        <v>335334.78453975997</v>
      </c>
      <c r="E48" s="35">
        <f t="shared" si="15"/>
        <v>320699.54271819768</v>
      </c>
      <c r="F48" s="35">
        <f t="shared" si="15"/>
        <v>306847.92281728605</v>
      </c>
      <c r="G48" s="35">
        <f t="shared" si="15"/>
        <v>293612.68944008456</v>
      </c>
      <c r="H48" s="35">
        <f t="shared" si="15"/>
        <v>280044.59989002487</v>
      </c>
      <c r="I48" s="35">
        <f t="shared" si="15"/>
        <v>267423.98698475823</v>
      </c>
      <c r="J48" s="35">
        <f t="shared" si="15"/>
        <v>255703.54029197869</v>
      </c>
      <c r="K48" s="35">
        <f t="shared" si="15"/>
        <v>244841.17206812277</v>
      </c>
      <c r="L48" s="35">
        <f t="shared" si="15"/>
        <v>234799.60889552973</v>
      </c>
      <c r="M48" s="35">
        <f t="shared" si="15"/>
        <v>225546.0373258481</v>
      </c>
      <c r="N48" s="35">
        <f t="shared" si="15"/>
        <v>1686081.1576821902</v>
      </c>
      <c r="O48" s="35">
        <f t="shared" si="15"/>
        <v>1648972.5962371575</v>
      </c>
      <c r="P48" s="35">
        <f t="shared" si="15"/>
        <v>1609203.1657416869</v>
      </c>
      <c r="Q48" s="35">
        <f t="shared" si="15"/>
        <v>1576703.2192971765</v>
      </c>
      <c r="R48" s="35">
        <f t="shared" si="15"/>
        <v>1546409.8104643347</v>
      </c>
      <c r="S48" s="35">
        <f t="shared" si="15"/>
        <v>1518266.3602636815</v>
      </c>
      <c r="T48" s="35">
        <f t="shared" si="15"/>
        <v>1492222.3841621452</v>
      </c>
      <c r="U48" s="35">
        <f t="shared" si="15"/>
        <v>1465233.2762154017</v>
      </c>
      <c r="V48" s="35">
        <f t="shared" si="15"/>
        <v>1440260.1482019704</v>
      </c>
      <c r="W48" s="35">
        <f t="shared" si="15"/>
        <v>1417269.7222218644</v>
      </c>
      <c r="X48" s="35">
        <f t="shared" si="15"/>
        <v>1396234.2758478345</v>
      </c>
      <c r="Y48" s="35">
        <f t="shared" si="15"/>
        <v>1380129.1785236432</v>
      </c>
      <c r="Z48" s="35">
        <f t="shared" si="15"/>
        <v>1340615.5455291532</v>
      </c>
      <c r="AA48" s="35">
        <f t="shared" si="15"/>
        <v>1305669.6045338621</v>
      </c>
      <c r="AB48" s="35">
        <f t="shared" si="15"/>
        <v>1275208.129854558</v>
      </c>
      <c r="AC48" s="35">
        <f t="shared" si="15"/>
        <v>1249156.7968609568</v>
      </c>
      <c r="AD48" s="35">
        <f t="shared" si="15"/>
        <v>1227450.3878574199</v>
      </c>
      <c r="AE48" s="35">
        <f t="shared" si="15"/>
        <v>1210033.0584227091</v>
      </c>
      <c r="AF48" s="35">
        <f t="shared" si="15"/>
        <v>1196858.6688228953</v>
      </c>
      <c r="AG48" s="35">
        <f t="shared" si="15"/>
        <v>1187891.1857376383</v>
      </c>
      <c r="AH48" s="35">
        <f t="shared" si="15"/>
        <v>1183105.1602268005</v>
      </c>
      <c r="AI48" s="35">
        <f t="shared" si="15"/>
        <v>1182486.2886199632</v>
      </c>
      <c r="AJ48" s="35">
        <f t="shared" si="15"/>
        <v>1186032.0638438889</v>
      </c>
      <c r="AK48" s="35">
        <f t="shared" si="15"/>
        <v>1193752.5256211513</v>
      </c>
      <c r="AL48" s="35">
        <f>M48</f>
        <v>225546.0373258481</v>
      </c>
      <c r="AM48" s="35">
        <f>Y48</f>
        <v>1380129.1785236432</v>
      </c>
      <c r="AN48" s="35">
        <f>AK48</f>
        <v>1193752.5256211513</v>
      </c>
    </row>
    <row r="50" spans="1:41" ht="15" customHeight="1" x14ac:dyDescent="0.2">
      <c r="A50" s="6" t="s">
        <v>179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ht="15" customHeight="1" x14ac:dyDescent="0.2">
      <c r="A51" s="19" t="s">
        <v>180</v>
      </c>
      <c r="B51" s="24">
        <f>Assumptions!C4*(1-Assumptions!C41)/AVERAGE(N9:Y9)</f>
        <v>56.971121558092683</v>
      </c>
      <c r="AO51" t="s">
        <v>181</v>
      </c>
    </row>
    <row r="52" spans="1:41" ht="15" customHeight="1" x14ac:dyDescent="0.2">
      <c r="A52" s="19" t="s">
        <v>182</v>
      </c>
      <c r="B52" s="24">
        <f>Assumptions!C5*(1-Assumptions!C41)/Assumptions!C27</f>
        <v>276.03749999999997</v>
      </c>
    </row>
    <row r="53" spans="1:41" ht="15" customHeight="1" x14ac:dyDescent="0.2">
      <c r="A53" s="19" t="s">
        <v>183</v>
      </c>
      <c r="B53" s="24">
        <f>Assumptions!C15</f>
        <v>20</v>
      </c>
    </row>
    <row r="54" spans="1:41" ht="15" customHeight="1" x14ac:dyDescent="0.2">
      <c r="A54" s="19" t="s">
        <v>184</v>
      </c>
      <c r="B54" s="25">
        <f>IF(B53=0,0,B51/B53)</f>
        <v>2.8485560779046342</v>
      </c>
      <c r="AO54" t="s">
        <v>185</v>
      </c>
    </row>
    <row r="55" spans="1:41" ht="15" customHeight="1" x14ac:dyDescent="0.2">
      <c r="A55" s="9" t="s">
        <v>186</v>
      </c>
      <c r="B55" s="26">
        <f>IF(B53=0,0,B53/(Assumptions!C4*(1-Assumptions!C41)))</f>
        <v>4.7153129788989743</v>
      </c>
    </row>
    <row r="56" spans="1:41" ht="27.75" customHeight="1" x14ac:dyDescent="0.2">
      <c r="A56" s="9" t="s">
        <v>187</v>
      </c>
      <c r="B56" s="10">
        <v>4.2</v>
      </c>
    </row>
    <row r="57" spans="1:41" ht="15" customHeight="1" x14ac:dyDescent="0.2">
      <c r="A57" s="9" t="s">
        <v>188</v>
      </c>
      <c r="B57" s="27">
        <f>IF(B56=0,0,B52/B56)</f>
        <v>65.723214285714278</v>
      </c>
    </row>
  </sheetData>
  <mergeCells count="6">
    <mergeCell ref="A50:AO50"/>
    <mergeCell ref="A1:AM1"/>
    <mergeCell ref="A4:AO4"/>
    <mergeCell ref="A17:AO17"/>
    <mergeCell ref="A28:AO28"/>
    <mergeCell ref="A44:AO4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7"/>
  <sheetViews>
    <sheetView zoomScaleNormal="100" workbookViewId="0">
      <pane xSplit="1" ySplit="3" topLeftCell="AM4" activePane="bottomRight" state="frozen"/>
      <selection pane="topRight" activeCell="B1" sqref="B1"/>
      <selection pane="bottomLeft" activeCell="A4" sqref="A4"/>
      <selection pane="bottomRight" activeCell="Y15" sqref="Y15"/>
    </sheetView>
  </sheetViews>
  <sheetFormatPr baseColWidth="10" defaultColWidth="8.6640625" defaultRowHeight="15" x14ac:dyDescent="0.2"/>
  <cols>
    <col min="1" max="1" width="55" customWidth="1"/>
    <col min="2" max="37" width="9" customWidth="1"/>
    <col min="38" max="40" width="12" customWidth="1"/>
    <col min="41" max="41" width="55" customWidth="1"/>
  </cols>
  <sheetData>
    <row r="1" spans="1:41" ht="15" customHeight="1" x14ac:dyDescent="0.2">
      <c r="A1" s="6" t="s">
        <v>189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spans="1:41" ht="15" customHeight="1" x14ac:dyDescent="0.2">
      <c r="A2" s="7" t="s">
        <v>80</v>
      </c>
      <c r="B2" s="7" t="s">
        <v>81</v>
      </c>
      <c r="C2" s="7" t="s">
        <v>82</v>
      </c>
      <c r="D2" s="7" t="s">
        <v>83</v>
      </c>
      <c r="E2" s="7" t="s">
        <v>84</v>
      </c>
      <c r="F2" s="7" t="s">
        <v>85</v>
      </c>
      <c r="G2" s="7" t="s">
        <v>86</v>
      </c>
      <c r="H2" s="7" t="s">
        <v>87</v>
      </c>
      <c r="I2" s="7" t="s">
        <v>88</v>
      </c>
      <c r="J2" s="7" t="s">
        <v>89</v>
      </c>
      <c r="K2" s="7" t="s">
        <v>90</v>
      </c>
      <c r="L2" s="7" t="s">
        <v>91</v>
      </c>
      <c r="M2" s="7" t="s">
        <v>92</v>
      </c>
      <c r="N2" s="7" t="s">
        <v>93</v>
      </c>
      <c r="O2" s="7" t="s">
        <v>94</v>
      </c>
      <c r="P2" s="7" t="s">
        <v>95</v>
      </c>
      <c r="Q2" s="7" t="s">
        <v>96</v>
      </c>
      <c r="R2" s="7" t="s">
        <v>97</v>
      </c>
      <c r="S2" s="7" t="s">
        <v>98</v>
      </c>
      <c r="T2" s="7" t="s">
        <v>99</v>
      </c>
      <c r="U2" s="7" t="s">
        <v>100</v>
      </c>
      <c r="V2" s="7" t="s">
        <v>101</v>
      </c>
      <c r="W2" s="7" t="s">
        <v>102</v>
      </c>
      <c r="X2" s="7" t="s">
        <v>103</v>
      </c>
      <c r="Y2" s="7" t="s">
        <v>104</v>
      </c>
      <c r="Z2" s="7" t="s">
        <v>105</v>
      </c>
      <c r="AA2" s="7" t="s">
        <v>106</v>
      </c>
      <c r="AB2" s="7" t="s">
        <v>107</v>
      </c>
      <c r="AC2" s="7" t="s">
        <v>108</v>
      </c>
      <c r="AD2" s="7" t="s">
        <v>109</v>
      </c>
      <c r="AE2" s="7" t="s">
        <v>110</v>
      </c>
      <c r="AF2" s="7" t="s">
        <v>111</v>
      </c>
      <c r="AG2" s="7" t="s">
        <v>112</v>
      </c>
      <c r="AH2" s="7" t="s">
        <v>113</v>
      </c>
      <c r="AI2" s="7" t="s">
        <v>114</v>
      </c>
      <c r="AJ2" s="7" t="s">
        <v>115</v>
      </c>
      <c r="AK2" s="7" t="s">
        <v>116</v>
      </c>
      <c r="AL2" s="7" t="s">
        <v>117</v>
      </c>
      <c r="AM2" s="7" t="s">
        <v>118</v>
      </c>
      <c r="AN2" s="7" t="s">
        <v>119</v>
      </c>
      <c r="AO2" s="7" t="s">
        <v>120</v>
      </c>
    </row>
    <row r="3" spans="1:41" ht="15" customHeight="1" x14ac:dyDescent="0.2">
      <c r="A3" s="15" t="s">
        <v>121</v>
      </c>
      <c r="B3" s="16">
        <v>1</v>
      </c>
      <c r="C3" s="16">
        <v>1</v>
      </c>
      <c r="D3" s="16">
        <v>1</v>
      </c>
      <c r="E3" s="16">
        <v>1</v>
      </c>
      <c r="F3" s="16">
        <v>1</v>
      </c>
      <c r="G3" s="16">
        <v>1</v>
      </c>
      <c r="H3" s="16">
        <v>1</v>
      </c>
      <c r="I3" s="16">
        <v>1</v>
      </c>
      <c r="J3" s="16">
        <v>1</v>
      </c>
      <c r="K3" s="16">
        <v>1</v>
      </c>
      <c r="L3" s="16">
        <v>1</v>
      </c>
      <c r="M3" s="16">
        <v>1</v>
      </c>
      <c r="N3" s="16">
        <v>2</v>
      </c>
      <c r="O3" s="16">
        <v>2</v>
      </c>
      <c r="P3" s="16">
        <v>2</v>
      </c>
      <c r="Q3" s="16">
        <v>2</v>
      </c>
      <c r="R3" s="16">
        <v>2</v>
      </c>
      <c r="S3" s="16">
        <v>2</v>
      </c>
      <c r="T3" s="16">
        <v>2</v>
      </c>
      <c r="U3" s="16">
        <v>2</v>
      </c>
      <c r="V3" s="16">
        <v>2</v>
      </c>
      <c r="W3" s="16">
        <v>2</v>
      </c>
      <c r="X3" s="16">
        <v>2</v>
      </c>
      <c r="Y3" s="16">
        <v>2</v>
      </c>
      <c r="Z3" s="16">
        <v>3</v>
      </c>
      <c r="AA3" s="16">
        <v>3</v>
      </c>
      <c r="AB3" s="16">
        <v>3</v>
      </c>
      <c r="AC3" s="16">
        <v>3</v>
      </c>
      <c r="AD3" s="16">
        <v>3</v>
      </c>
      <c r="AE3" s="16">
        <v>3</v>
      </c>
      <c r="AF3" s="16">
        <v>3</v>
      </c>
      <c r="AG3" s="16">
        <v>3</v>
      </c>
      <c r="AH3" s="16">
        <v>3</v>
      </c>
      <c r="AI3" s="16">
        <v>3</v>
      </c>
      <c r="AJ3" s="16">
        <v>3</v>
      </c>
      <c r="AK3" s="16">
        <v>3</v>
      </c>
    </row>
    <row r="4" spans="1:41" ht="15" customHeight="1" x14ac:dyDescent="0.2">
      <c r="A4" s="6" t="s">
        <v>122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ht="15" customHeight="1" x14ac:dyDescent="0.2">
      <c r="A5" s="9" t="s">
        <v>123</v>
      </c>
      <c r="B5" s="17">
        <f>Assumptions!D9</f>
        <v>200</v>
      </c>
      <c r="C5" s="17">
        <f>B5*(1+Assumptions!D10)</f>
        <v>225.99999999999997</v>
      </c>
      <c r="D5" s="17">
        <f>C5*(1+Assumptions!D10)</f>
        <v>255.37999999999994</v>
      </c>
      <c r="E5" s="17">
        <f>D5*(1+Assumptions!D10)</f>
        <v>288.57939999999991</v>
      </c>
      <c r="F5" s="17">
        <f>E5*(1+Assumptions!D10)</f>
        <v>326.09472199999988</v>
      </c>
      <c r="G5" s="17">
        <f>F5*(1+Assumptions!D10)</f>
        <v>368.48703585999982</v>
      </c>
      <c r="H5" s="17">
        <f>G5*(1+Assumptions!D10)</f>
        <v>416.39035052179975</v>
      </c>
      <c r="I5" s="17">
        <f>H5*(1+Assumptions!D10)</f>
        <v>470.52109608963366</v>
      </c>
      <c r="J5" s="17">
        <f>I5*(1+Assumptions!D10)</f>
        <v>531.68883858128595</v>
      </c>
      <c r="K5" s="17">
        <f>J5*(1+Assumptions!D10)</f>
        <v>600.80838759685309</v>
      </c>
      <c r="L5" s="17">
        <f>K5*(1+Assumptions!D10)</f>
        <v>678.91347798444394</v>
      </c>
      <c r="M5" s="17">
        <f>L5*(1+Assumptions!D10)</f>
        <v>767.17223012242164</v>
      </c>
      <c r="N5" s="17">
        <f>M5*(1+Assumptions!D10)</f>
        <v>866.90462003833636</v>
      </c>
      <c r="O5" s="17">
        <f>N5*(1+Assumptions!D10)</f>
        <v>979.60222064332004</v>
      </c>
      <c r="P5" s="17">
        <f>O5*(1+Assumptions!D10)</f>
        <v>1106.9505093269515</v>
      </c>
      <c r="Q5" s="17">
        <f>P5*(1+Assumptions!D10)</f>
        <v>1250.8540755394552</v>
      </c>
      <c r="R5" s="17">
        <f>Q5*(1+Assumptions!D10)</f>
        <v>1413.4651053595842</v>
      </c>
      <c r="S5" s="17">
        <f>R5*(1+Assumptions!D10)</f>
        <v>1597.21556905633</v>
      </c>
      <c r="T5" s="17">
        <f>S5*(1+Assumptions!D10)</f>
        <v>1804.8535930336527</v>
      </c>
      <c r="U5" s="17">
        <f>T5*(1+Assumptions!D10)</f>
        <v>2039.4845601280274</v>
      </c>
      <c r="V5" s="17">
        <f>U5*(1+Assumptions!D10)</f>
        <v>2304.6175529446709</v>
      </c>
      <c r="W5" s="17">
        <f>V5*(1+Assumptions!D10)</f>
        <v>2604.2178348274779</v>
      </c>
      <c r="X5" s="17">
        <f>W5*(1+Assumptions!D10)</f>
        <v>2942.7661533550499</v>
      </c>
      <c r="Y5" s="17">
        <f>X5*(1+Assumptions!D10)</f>
        <v>3325.3257532912062</v>
      </c>
      <c r="Z5" s="17">
        <f>Y5*(1+Assumptions!D10)</f>
        <v>3757.6181012190627</v>
      </c>
      <c r="AA5" s="17">
        <f>Z5*(1+Assumptions!D10)</f>
        <v>4246.1084543775405</v>
      </c>
      <c r="AB5" s="17">
        <f>AA5*(1+Assumptions!D10)</f>
        <v>4798.1025534466207</v>
      </c>
      <c r="AC5" s="17">
        <f>AB5*(1+Assumptions!D10)</f>
        <v>5421.8558853946806</v>
      </c>
      <c r="AD5" s="17">
        <f>AC5*(1+Assumptions!D10)</f>
        <v>6126.6971504959884</v>
      </c>
      <c r="AE5" s="17">
        <f>AD5*(1+Assumptions!D10)</f>
        <v>6923.1677800604666</v>
      </c>
      <c r="AF5" s="17">
        <f>AE5*(1+Assumptions!D10)</f>
        <v>7823.1795914683262</v>
      </c>
      <c r="AG5" s="17">
        <f>AF5*(1+Assumptions!D10)</f>
        <v>8840.1929383592069</v>
      </c>
      <c r="AH5" s="17">
        <f>AG5*(1+Assumptions!D10)</f>
        <v>9989.4180203459036</v>
      </c>
      <c r="AI5" s="17">
        <f>AH5*(1+Assumptions!D10)</f>
        <v>11288.042362990869</v>
      </c>
      <c r="AJ5" s="17">
        <f>AI5*(1+Assumptions!D10)</f>
        <v>12755.487870179681</v>
      </c>
      <c r="AK5" s="17">
        <f>AJ5*(1+Assumptions!D10)</f>
        <v>14413.701293303038</v>
      </c>
      <c r="AL5" s="17">
        <f>SUM(B5:M5)</f>
        <v>5130.0355387564377</v>
      </c>
      <c r="AM5" s="17">
        <f>SUM(N5:Y5)</f>
        <v>22236.257547544064</v>
      </c>
      <c r="AN5" s="17">
        <f>SUM(Z5:AK5)</f>
        <v>96383.572001641383</v>
      </c>
      <c r="AO5" t="s">
        <v>124</v>
      </c>
    </row>
    <row r="6" spans="1:41" ht="27.75" customHeight="1" x14ac:dyDescent="0.2">
      <c r="A6" s="9" t="s">
        <v>125</v>
      </c>
      <c r="B6" s="17">
        <f>B5*Assumptions!D11</f>
        <v>13</v>
      </c>
      <c r="C6" s="17">
        <f>C5*Assumptions!D11</f>
        <v>14.69</v>
      </c>
      <c r="D6" s="17">
        <f>D5*Assumptions!D11</f>
        <v>16.599699999999995</v>
      </c>
      <c r="E6" s="17">
        <f>E5*Assumptions!D11</f>
        <v>18.757660999999995</v>
      </c>
      <c r="F6" s="17">
        <f>F5*Assumptions!D11</f>
        <v>21.196156929999994</v>
      </c>
      <c r="G6" s="17">
        <f>G5*Assumptions!D11</f>
        <v>23.951657330899991</v>
      </c>
      <c r="H6" s="17">
        <f>H5*Assumptions!D11</f>
        <v>27.065372783916985</v>
      </c>
      <c r="I6" s="17">
        <f>I5*Assumptions!D11</f>
        <v>30.583871245826188</v>
      </c>
      <c r="J6" s="17">
        <f>J5*Assumptions!D11</f>
        <v>34.559774507783587</v>
      </c>
      <c r="K6" s="17">
        <f>K5*Assumptions!D11</f>
        <v>39.052545193795453</v>
      </c>
      <c r="L6" s="17">
        <f>L5*Assumptions!D11</f>
        <v>44.129376068988854</v>
      </c>
      <c r="M6" s="17">
        <f>M5*Assumptions!D11</f>
        <v>49.866194957957411</v>
      </c>
      <c r="N6" s="17">
        <f>N5*Assumptions!D11</f>
        <v>56.348800302491867</v>
      </c>
      <c r="O6" s="17">
        <f>O5*Assumptions!D11</f>
        <v>63.674144341815804</v>
      </c>
      <c r="P6" s="17">
        <f>P5*Assumptions!D11</f>
        <v>71.951783106251852</v>
      </c>
      <c r="Q6" s="17">
        <f>Q5*Assumptions!D11</f>
        <v>81.305514910064588</v>
      </c>
      <c r="R6" s="17">
        <f>R5*Assumptions!D11</f>
        <v>91.875231848372977</v>
      </c>
      <c r="S6" s="17">
        <f>S5*Assumptions!D11</f>
        <v>103.81901198866146</v>
      </c>
      <c r="T6" s="17">
        <f>T5*Assumptions!D11</f>
        <v>117.31548354718743</v>
      </c>
      <c r="U6" s="17">
        <f>U5*Assumptions!D11</f>
        <v>132.5664964083218</v>
      </c>
      <c r="V6" s="17">
        <f>V5*Assumptions!D11</f>
        <v>149.80014094140361</v>
      </c>
      <c r="W6" s="17">
        <f>W5*Assumptions!D11</f>
        <v>169.27415926378606</v>
      </c>
      <c r="X6" s="17">
        <f>X5*Assumptions!D11</f>
        <v>191.27979996807827</v>
      </c>
      <c r="Y6" s="17">
        <f>Y5*Assumptions!D11</f>
        <v>216.14617396392842</v>
      </c>
      <c r="Z6" s="17">
        <f>Z5*Assumptions!D11</f>
        <v>244.24517657923909</v>
      </c>
      <c r="AA6" s="17">
        <f>AA5*Assumptions!D11</f>
        <v>275.99704953454017</v>
      </c>
      <c r="AB6" s="17">
        <f>AB5*Assumptions!D11</f>
        <v>311.87666597403035</v>
      </c>
      <c r="AC6" s="17">
        <f>AC5*Assumptions!D11</f>
        <v>352.42063255065426</v>
      </c>
      <c r="AD6" s="17">
        <f>AD5*Assumptions!D11</f>
        <v>398.23531478223924</v>
      </c>
      <c r="AE6" s="17">
        <f>AE5*Assumptions!D11</f>
        <v>450.00590570393035</v>
      </c>
      <c r="AF6" s="17">
        <f>AF5*Assumptions!D11</f>
        <v>508.50667344544121</v>
      </c>
      <c r="AG6" s="17">
        <f>AG5*Assumptions!D11</f>
        <v>574.61254099334849</v>
      </c>
      <c r="AH6" s="17">
        <f>AH5*Assumptions!D11</f>
        <v>649.31217132248378</v>
      </c>
      <c r="AI6" s="17">
        <f>AI5*Assumptions!D11</f>
        <v>733.72275359440653</v>
      </c>
      <c r="AJ6" s="17">
        <f>AJ5*Assumptions!D11</f>
        <v>829.10671156167928</v>
      </c>
      <c r="AK6" s="17">
        <f>AK5*Assumptions!D11</f>
        <v>936.89058406469746</v>
      </c>
      <c r="AL6" s="17">
        <f>SUM(B6:M6)</f>
        <v>333.45231001916846</v>
      </c>
      <c r="AM6" s="17">
        <f>SUM(N6:Y6)</f>
        <v>1445.3567405903643</v>
      </c>
      <c r="AN6" s="17">
        <f>SUM(Z6:AK6)</f>
        <v>6264.9321801066899</v>
      </c>
      <c r="AO6" t="s">
        <v>126</v>
      </c>
    </row>
    <row r="7" spans="1:41" ht="15" customHeight="1" x14ac:dyDescent="0.2">
      <c r="A7" s="9" t="s">
        <v>127</v>
      </c>
      <c r="B7" s="17">
        <f>0</f>
        <v>0</v>
      </c>
      <c r="C7" s="17">
        <f>0</f>
        <v>0</v>
      </c>
      <c r="D7" s="17">
        <f>0</f>
        <v>0</v>
      </c>
      <c r="E7" s="17">
        <f>Assumptions!D12/Assumptions!D15</f>
        <v>266.66666666666669</v>
      </c>
      <c r="F7" s="17">
        <f>Assumptions!D12/Assumptions!D15</f>
        <v>266.66666666666669</v>
      </c>
      <c r="G7" s="17">
        <f>Assumptions!D12/Assumptions!D15</f>
        <v>266.66666666666669</v>
      </c>
      <c r="H7" s="17">
        <f>Assumptions!D12/Assumptions!D15</f>
        <v>266.66666666666669</v>
      </c>
      <c r="I7" s="17">
        <f>Assumptions!D12/Assumptions!D15</f>
        <v>266.66666666666669</v>
      </c>
      <c r="J7" s="17">
        <f>Assumptions!D12/Assumptions!D15</f>
        <v>266.66666666666669</v>
      </c>
      <c r="K7" s="17">
        <f>Assumptions!D12/Assumptions!D15</f>
        <v>266.66666666666669</v>
      </c>
      <c r="L7" s="17">
        <f>Assumptions!D12/Assumptions!D15</f>
        <v>266.66666666666669</v>
      </c>
      <c r="M7" s="17">
        <f>Assumptions!D12/Assumptions!D15</f>
        <v>266.66666666666669</v>
      </c>
      <c r="N7" s="17">
        <f>Assumptions!D13/Assumptions!D16</f>
        <v>722.22222222222217</v>
      </c>
      <c r="O7" s="17">
        <f>Assumptions!D13/Assumptions!D16</f>
        <v>722.22222222222217</v>
      </c>
      <c r="P7" s="17">
        <f>Assumptions!D13/Assumptions!D16</f>
        <v>722.22222222222217</v>
      </c>
      <c r="Q7" s="17">
        <f>Assumptions!D13/Assumptions!D16</f>
        <v>722.22222222222217</v>
      </c>
      <c r="R7" s="17">
        <f>Assumptions!D13/Assumptions!D16</f>
        <v>722.22222222222217</v>
      </c>
      <c r="S7" s="17">
        <f>Assumptions!D13/Assumptions!D16</f>
        <v>722.22222222222217</v>
      </c>
      <c r="T7" s="17">
        <f>Assumptions!D13/Assumptions!D16</f>
        <v>722.22222222222217</v>
      </c>
      <c r="U7" s="17">
        <f>Assumptions!D13/Assumptions!D16</f>
        <v>722.22222222222217</v>
      </c>
      <c r="V7" s="17">
        <f>Assumptions!D13/Assumptions!D16</f>
        <v>722.22222222222217</v>
      </c>
      <c r="W7" s="17">
        <f>Assumptions!D13/Assumptions!D16</f>
        <v>722.22222222222217</v>
      </c>
      <c r="X7" s="17">
        <f>Assumptions!D13/Assumptions!D16</f>
        <v>722.22222222222217</v>
      </c>
      <c r="Y7" s="17">
        <f>Assumptions!D13/Assumptions!D16</f>
        <v>722.22222222222217</v>
      </c>
      <c r="Z7" s="17">
        <f>Assumptions!D14/Assumptions!D16</f>
        <v>1388.8888888888889</v>
      </c>
      <c r="AA7" s="17">
        <f>Assumptions!D14/Assumptions!D16</f>
        <v>1388.8888888888889</v>
      </c>
      <c r="AB7" s="17">
        <f>Assumptions!D14/Assumptions!D16</f>
        <v>1388.8888888888889</v>
      </c>
      <c r="AC7" s="17">
        <f>Assumptions!D14/Assumptions!D16</f>
        <v>1388.8888888888889</v>
      </c>
      <c r="AD7" s="17">
        <f>Assumptions!D14/Assumptions!D16</f>
        <v>1388.8888888888889</v>
      </c>
      <c r="AE7" s="17">
        <f>Assumptions!D14/Assumptions!D16</f>
        <v>1388.8888888888889</v>
      </c>
      <c r="AF7" s="17">
        <f>Assumptions!D14/Assumptions!D16</f>
        <v>1388.8888888888889</v>
      </c>
      <c r="AG7" s="17">
        <f>Assumptions!D14/Assumptions!D16</f>
        <v>1388.8888888888889</v>
      </c>
      <c r="AH7" s="17">
        <f>Assumptions!D14/Assumptions!D16</f>
        <v>1388.8888888888889</v>
      </c>
      <c r="AI7" s="17">
        <f>Assumptions!D14/Assumptions!D16</f>
        <v>1388.8888888888889</v>
      </c>
      <c r="AJ7" s="17">
        <f>Assumptions!D14/Assumptions!D16</f>
        <v>1388.8888888888889</v>
      </c>
      <c r="AK7" s="17">
        <f>Assumptions!D14/Assumptions!D16</f>
        <v>1388.8888888888889</v>
      </c>
      <c r="AL7" s="17">
        <f>SUM(B7:M7)</f>
        <v>2400</v>
      </c>
      <c r="AM7" s="17">
        <f>SUM(N7:Y7)</f>
        <v>8666.6666666666679</v>
      </c>
      <c r="AN7" s="17">
        <f>SUM(Z7:AK7)</f>
        <v>16666.666666666668</v>
      </c>
      <c r="AO7" t="s">
        <v>128</v>
      </c>
    </row>
    <row r="8" spans="1:41" ht="15" customHeight="1" x14ac:dyDescent="0.2">
      <c r="A8" s="9" t="s">
        <v>129</v>
      </c>
      <c r="B8" s="18">
        <f>0</f>
        <v>0</v>
      </c>
      <c r="C8" s="18">
        <f>0</f>
        <v>0</v>
      </c>
      <c r="D8" s="18">
        <f>0</f>
        <v>0</v>
      </c>
      <c r="E8" s="18">
        <f>MIN(Assumptions!D22,1*Assumptions!D21)</f>
        <v>0.02</v>
      </c>
      <c r="F8" s="18">
        <f>MIN(Assumptions!D22,2*Assumptions!D21)</f>
        <v>0.04</v>
      </c>
      <c r="G8" s="18">
        <f>MIN(Assumptions!D22,3*Assumptions!D21)</f>
        <v>0.06</v>
      </c>
      <c r="H8" s="18">
        <f>MIN(Assumptions!D22,4*Assumptions!D21)</f>
        <v>0.08</v>
      </c>
      <c r="I8" s="18">
        <f>MIN(Assumptions!D22,5*Assumptions!D21)</f>
        <v>0.1</v>
      </c>
      <c r="J8" s="18">
        <f>MIN(Assumptions!D22,6*Assumptions!D21)</f>
        <v>0.12</v>
      </c>
      <c r="K8" s="18">
        <f>MIN(Assumptions!D22,7*Assumptions!D21)</f>
        <v>0.14000000000000001</v>
      </c>
      <c r="L8" s="18">
        <f>MIN(Assumptions!D22,8*Assumptions!D21)</f>
        <v>0.16</v>
      </c>
      <c r="M8" s="18">
        <f>MIN(Assumptions!D22,9*Assumptions!D21)</f>
        <v>0.18</v>
      </c>
      <c r="N8" s="18">
        <f>MIN(Assumptions!D22,10*Assumptions!D21)</f>
        <v>0.2</v>
      </c>
      <c r="O8" s="18">
        <f>MIN(Assumptions!D22,11*Assumptions!D21)</f>
        <v>0.22</v>
      </c>
      <c r="P8" s="18">
        <f>MIN(Assumptions!D22,12*Assumptions!D21)</f>
        <v>0.24</v>
      </c>
      <c r="Q8" s="18">
        <f>MIN(Assumptions!D22,13*Assumptions!D21)</f>
        <v>0.26</v>
      </c>
      <c r="R8" s="18">
        <f>MIN(Assumptions!D22,14*Assumptions!D21)</f>
        <v>0.28000000000000003</v>
      </c>
      <c r="S8" s="18">
        <f>MIN(Assumptions!D22,15*Assumptions!D21)</f>
        <v>0.3</v>
      </c>
      <c r="T8" s="18">
        <f>MIN(Assumptions!D22,16*Assumptions!D21)</f>
        <v>0.32</v>
      </c>
      <c r="U8" s="18">
        <f>MIN(Assumptions!D22,17*Assumptions!D21)</f>
        <v>0.34</v>
      </c>
      <c r="V8" s="18">
        <f>MIN(Assumptions!D22,18*Assumptions!D21)</f>
        <v>0.36</v>
      </c>
      <c r="W8" s="18">
        <f>MIN(Assumptions!D22,19*Assumptions!D21)</f>
        <v>0.38</v>
      </c>
      <c r="X8" s="18">
        <f>MIN(Assumptions!D22,20*Assumptions!D21)</f>
        <v>0.4</v>
      </c>
      <c r="Y8" s="18">
        <f>MIN(Assumptions!D22,21*Assumptions!D21)</f>
        <v>0.4</v>
      </c>
      <c r="Z8" s="18">
        <f>MIN(Assumptions!D22,22*Assumptions!D21)</f>
        <v>0.4</v>
      </c>
      <c r="AA8" s="18">
        <f>MIN(Assumptions!D22,23*Assumptions!D21)</f>
        <v>0.4</v>
      </c>
      <c r="AB8" s="18">
        <f>MIN(Assumptions!D22,24*Assumptions!D21)</f>
        <v>0.4</v>
      </c>
      <c r="AC8" s="18">
        <f>MIN(Assumptions!D22,25*Assumptions!D21)</f>
        <v>0.4</v>
      </c>
      <c r="AD8" s="18">
        <f>MIN(Assumptions!D22,26*Assumptions!D21)</f>
        <v>0.4</v>
      </c>
      <c r="AE8" s="18">
        <f>MIN(Assumptions!D22,27*Assumptions!D21)</f>
        <v>0.4</v>
      </c>
      <c r="AF8" s="18">
        <f>MIN(Assumptions!D22,28*Assumptions!D21)</f>
        <v>0.4</v>
      </c>
      <c r="AG8" s="18">
        <f>MIN(Assumptions!D22,29*Assumptions!D21)</f>
        <v>0.4</v>
      </c>
      <c r="AH8" s="18">
        <f>MIN(Assumptions!D22,30*Assumptions!D21)</f>
        <v>0.4</v>
      </c>
      <c r="AI8" s="18">
        <f>MIN(Assumptions!D22,31*Assumptions!D21)</f>
        <v>0.4</v>
      </c>
      <c r="AJ8" s="18">
        <f>MIN(Assumptions!D22,32*Assumptions!D21)</f>
        <v>0.4</v>
      </c>
      <c r="AK8" s="18">
        <f>MIN(Assumptions!D22,33*Assumptions!D21)</f>
        <v>0.4</v>
      </c>
      <c r="AL8" s="18">
        <f>M8</f>
        <v>0.18</v>
      </c>
      <c r="AM8" s="18">
        <f>Y8</f>
        <v>0.4</v>
      </c>
      <c r="AN8" s="18">
        <f>AK8</f>
        <v>0.4</v>
      </c>
      <c r="AO8" t="s">
        <v>130</v>
      </c>
    </row>
    <row r="9" spans="1:41" ht="15" customHeight="1" x14ac:dyDescent="0.2">
      <c r="A9" s="9" t="s">
        <v>131</v>
      </c>
      <c r="B9" s="18">
        <f>Assumptions!D18*(1-B8*Assumptions!D23)</f>
        <v>0.08</v>
      </c>
      <c r="C9" s="18">
        <f>Assumptions!D18*(1-C8*Assumptions!D23)</f>
        <v>0.08</v>
      </c>
      <c r="D9" s="18">
        <f>Assumptions!D18*(1-D8*Assumptions!D23)</f>
        <v>0.08</v>
      </c>
      <c r="E9" s="18">
        <f>Assumptions!D18*(1-E8*Assumptions!D23)</f>
        <v>7.9439999999999997E-2</v>
      </c>
      <c r="F9" s="18">
        <f>Assumptions!D18*(1-F8*Assumptions!D23)</f>
        <v>7.8880000000000006E-2</v>
      </c>
      <c r="G9" s="18">
        <f>Assumptions!D18*(1-G8*Assumptions!D23)</f>
        <v>7.8320000000000001E-2</v>
      </c>
      <c r="H9" s="18">
        <f>Assumptions!D18*(1-H8*Assumptions!D23)</f>
        <v>7.7759999999999996E-2</v>
      </c>
      <c r="I9" s="18">
        <f>Assumptions!D18*(1-I8*Assumptions!D23)</f>
        <v>7.7200000000000005E-2</v>
      </c>
      <c r="J9" s="18">
        <f>Assumptions!D18*(1-J8*Assumptions!D23)</f>
        <v>7.664E-2</v>
      </c>
      <c r="K9" s="18">
        <f>Assumptions!D18*(1-K8*Assumptions!D23)</f>
        <v>7.6079999999999995E-2</v>
      </c>
      <c r="L9" s="18">
        <f>Assumptions!D18*(1-L8*Assumptions!D23)</f>
        <v>7.5520000000000004E-2</v>
      </c>
      <c r="M9" s="18">
        <f>Assumptions!D18*(1-M8*Assumptions!D23)</f>
        <v>7.4960000000000013E-2</v>
      </c>
      <c r="N9" s="18">
        <f>Assumptions!D19*(1-N8*Assumptions!D23)</f>
        <v>6.5100000000000005E-2</v>
      </c>
      <c r="O9" s="18">
        <f>Assumptions!D19*(1-O8*Assumptions!D23)</f>
        <v>6.4610000000000015E-2</v>
      </c>
      <c r="P9" s="18">
        <f>Assumptions!D19*(1-P8*Assumptions!D23)</f>
        <v>6.412000000000001E-2</v>
      </c>
      <c r="Q9" s="18">
        <f>Assumptions!D19*(1-Q8*Assumptions!D23)</f>
        <v>6.3630000000000006E-2</v>
      </c>
      <c r="R9" s="18">
        <f>Assumptions!D19*(1-R8*Assumptions!D23)</f>
        <v>6.3140000000000002E-2</v>
      </c>
      <c r="S9" s="18">
        <f>Assumptions!D19*(1-S8*Assumptions!D23)</f>
        <v>6.2650000000000011E-2</v>
      </c>
      <c r="T9" s="18">
        <f>Assumptions!D19*(1-T8*Assumptions!D23)</f>
        <v>6.2160000000000007E-2</v>
      </c>
      <c r="U9" s="18">
        <f>Assumptions!D19*(1-U8*Assumptions!D23)</f>
        <v>6.167000000000001E-2</v>
      </c>
      <c r="V9" s="18">
        <f>Assumptions!D19*(1-V8*Assumptions!D23)</f>
        <v>6.1180000000000005E-2</v>
      </c>
      <c r="W9" s="18">
        <f>Assumptions!D19*(1-W8*Assumptions!D23)</f>
        <v>6.0690000000000008E-2</v>
      </c>
      <c r="X9" s="18">
        <f>Assumptions!D19*(1-X8*Assumptions!D23)</f>
        <v>6.0200000000000004E-2</v>
      </c>
      <c r="Y9" s="18">
        <f>Assumptions!D19*(1-Y8*Assumptions!D23)</f>
        <v>6.0200000000000004E-2</v>
      </c>
      <c r="Z9" s="18">
        <f>Assumptions!D20*(1-Z8*Assumptions!D23)</f>
        <v>4.7300000000000002E-2</v>
      </c>
      <c r="AA9" s="18">
        <f>Assumptions!D20*(1-AA8*Assumptions!D23)</f>
        <v>4.7300000000000002E-2</v>
      </c>
      <c r="AB9" s="18">
        <f>Assumptions!D20*(1-AB8*Assumptions!D23)</f>
        <v>4.7300000000000002E-2</v>
      </c>
      <c r="AC9" s="18">
        <f>Assumptions!D20*(1-AC8*Assumptions!D23)</f>
        <v>4.7300000000000002E-2</v>
      </c>
      <c r="AD9" s="18">
        <f>Assumptions!D20*(1-AD8*Assumptions!D23)</f>
        <v>4.7300000000000002E-2</v>
      </c>
      <c r="AE9" s="18">
        <f>Assumptions!D20*(1-AE8*Assumptions!D23)</f>
        <v>4.7300000000000002E-2</v>
      </c>
      <c r="AF9" s="18">
        <f>Assumptions!D20*(1-AF8*Assumptions!D23)</f>
        <v>4.7300000000000002E-2</v>
      </c>
      <c r="AG9" s="18">
        <f>Assumptions!D20*(1-AG8*Assumptions!D23)</f>
        <v>4.7300000000000002E-2</v>
      </c>
      <c r="AH9" s="18">
        <f>Assumptions!D20*(1-AH8*Assumptions!D23)</f>
        <v>4.7300000000000002E-2</v>
      </c>
      <c r="AI9" s="18">
        <f>Assumptions!D20*(1-AI8*Assumptions!D23)</f>
        <v>4.7300000000000002E-2</v>
      </c>
      <c r="AJ9" s="18">
        <f>Assumptions!D20*(1-AJ8*Assumptions!D23)</f>
        <v>4.7300000000000002E-2</v>
      </c>
      <c r="AK9" s="18">
        <f>Assumptions!D20*(1-AK8*Assumptions!D23)</f>
        <v>4.7300000000000002E-2</v>
      </c>
      <c r="AL9" s="18">
        <f>AVERAGE(B9:M9)</f>
        <v>7.7900000000000011E-2</v>
      </c>
      <c r="AM9" s="18">
        <f>AVERAGE(N9:Y9)</f>
        <v>6.2445833333333339E-2</v>
      </c>
      <c r="AN9" s="18">
        <f>AVERAGE(Z9:AK9)</f>
        <v>4.7300000000000002E-2</v>
      </c>
      <c r="AO9" t="s">
        <v>132</v>
      </c>
    </row>
    <row r="10" spans="1:41" ht="15" customHeight="1" x14ac:dyDescent="0.2">
      <c r="A10" s="9" t="s">
        <v>133</v>
      </c>
      <c r="B10" s="17">
        <f>0</f>
        <v>0</v>
      </c>
      <c r="C10" s="17">
        <f>0</f>
        <v>0</v>
      </c>
      <c r="D10" s="17">
        <f>0</f>
        <v>0</v>
      </c>
      <c r="E10" s="17">
        <f>0</f>
        <v>0</v>
      </c>
      <c r="F10" s="17">
        <f>0</f>
        <v>0</v>
      </c>
      <c r="G10" s="17">
        <f>0</f>
        <v>0</v>
      </c>
      <c r="H10" s="17">
        <f>0</f>
        <v>0</v>
      </c>
      <c r="I10" s="17">
        <f>0</f>
        <v>0</v>
      </c>
      <c r="J10" s="17">
        <f>0</f>
        <v>0</v>
      </c>
      <c r="K10" s="17">
        <f>0</f>
        <v>0</v>
      </c>
      <c r="L10" s="17">
        <f>0</f>
        <v>0</v>
      </c>
      <c r="M10" s="17">
        <f>0</f>
        <v>0</v>
      </c>
      <c r="N10" s="17">
        <f>M11*Assumptions!D26</f>
        <v>20.336785548218575</v>
      </c>
      <c r="O10" s="17">
        <f>N11*Assumptions!D26</f>
        <v>26.595203178794499</v>
      </c>
      <c r="P10" s="17">
        <f>O11*Assumptions!D26</f>
        <v>32.469898735265019</v>
      </c>
      <c r="Q10" s="17">
        <f>P11*Assumptions!D26</f>
        <v>38.004969894291918</v>
      </c>
      <c r="R10" s="17">
        <f>Q11*Assumptions!D26</f>
        <v>43.241941332298069</v>
      </c>
      <c r="S10" s="17">
        <f>R11*Assumptions!D26</f>
        <v>48.220200283959734</v>
      </c>
      <c r="T10" s="17">
        <f>S11*Assumptions!D26</f>
        <v>52.977415075438898</v>
      </c>
      <c r="U10" s="17">
        <f>T11*Assumptions!D26</f>
        <v>57.549941861289319</v>
      </c>
      <c r="V10" s="17">
        <f>U11*Assumptions!D26</f>
        <v>61.973224714396146</v>
      </c>
      <c r="W10" s="17">
        <f>V11*Assumptions!D26</f>
        <v>66.282194210861689</v>
      </c>
      <c r="X10" s="17">
        <f>W11*Assumptions!D26</f>
        <v>70.51166971695595</v>
      </c>
      <c r="Y10" s="17">
        <f>X11*Assumptions!D26</f>
        <v>74.696770724728637</v>
      </c>
      <c r="Z10" s="17">
        <f>Y11*Assumptions!D26</f>
        <v>78.836741381714191</v>
      </c>
      <c r="AA10" s="17">
        <f>Z11*Assumptions!D26</f>
        <v>90.650736755223249</v>
      </c>
      <c r="AB10" s="17">
        <f>AA11*Assumptions!D26</f>
        <v>102.10530892338323</v>
      </c>
      <c r="AC10" s="17">
        <f>AB11*Assumptions!D26</f>
        <v>113.26233027070258</v>
      </c>
      <c r="AD10" s="17">
        <f>AC11*Assumptions!D26</f>
        <v>124.18549396058674</v>
      </c>
      <c r="AE10" s="17">
        <f>AD11*Assumptions!D26</f>
        <v>134.9409071933564</v>
      </c>
      <c r="AF10" s="17">
        <f>AE11*Assumptions!D26</f>
        <v>145.59774115710528</v>
      </c>
      <c r="AG10" s="17">
        <f>AF11*Assumptions!D26</f>
        <v>156.22894621214641</v>
      </c>
      <c r="AH10" s="17">
        <f>AG11*Assumptions!D26</f>
        <v>166.91204189301283</v>
      </c>
      <c r="AI10" s="17">
        <f>AH11*Assumptions!D26</f>
        <v>177.72999249465695</v>
      </c>
      <c r="AJ10" s="17">
        <f>AI11*Assumptions!D26</f>
        <v>188.77218034954606</v>
      </c>
      <c r="AK10" s="17">
        <f>AJ11*Assumptions!D26</f>
        <v>200.13549042002276</v>
      </c>
      <c r="AL10" s="17">
        <f>SUM(B10:M10)</f>
        <v>0</v>
      </c>
      <c r="AM10" s="17">
        <f>SUM(N10:Y10)</f>
        <v>592.86021527649848</v>
      </c>
      <c r="AN10" s="17">
        <f>SUM(Z10:AK10)</f>
        <v>1679.3579110114567</v>
      </c>
      <c r="AO10" t="s">
        <v>134</v>
      </c>
    </row>
    <row r="11" spans="1:41" ht="15" customHeight="1" x14ac:dyDescent="0.2">
      <c r="A11" s="19" t="s">
        <v>135</v>
      </c>
      <c r="B11" s="17">
        <f>B6+B7</f>
        <v>13</v>
      </c>
      <c r="C11" s="17">
        <f t="shared" ref="C11:AK11" si="0">B11*(1-C9)-C10+C6+C7</f>
        <v>26.65</v>
      </c>
      <c r="D11" s="17">
        <f t="shared" si="0"/>
        <v>41.117699999999999</v>
      </c>
      <c r="E11" s="17">
        <f t="shared" si="0"/>
        <v>323.27563757866665</v>
      </c>
      <c r="F11" s="17">
        <f t="shared" si="0"/>
        <v>585.63847888312807</v>
      </c>
      <c r="G11" s="17">
        <f t="shared" si="0"/>
        <v>830.38959721456831</v>
      </c>
      <c r="H11" s="17">
        <f t="shared" si="0"/>
        <v>1059.5505415857472</v>
      </c>
      <c r="I11" s="17">
        <f t="shared" si="0"/>
        <v>1275.0037776878203</v>
      </c>
      <c r="J11" s="17">
        <f t="shared" si="0"/>
        <v>1478.513929340276</v>
      </c>
      <c r="K11" s="17">
        <f t="shared" si="0"/>
        <v>1671.7478014565299</v>
      </c>
      <c r="L11" s="17">
        <f t="shared" si="0"/>
        <v>1856.2934502261885</v>
      </c>
      <c r="M11" s="17">
        <f t="shared" si="0"/>
        <v>2033.6785548218575</v>
      </c>
      <c r="N11" s="17">
        <f t="shared" si="0"/>
        <v>2659.52031787945</v>
      </c>
      <c r="O11" s="17">
        <f t="shared" si="0"/>
        <v>3246.9898735265019</v>
      </c>
      <c r="P11" s="17">
        <f t="shared" si="0"/>
        <v>3800.4969894291917</v>
      </c>
      <c r="Q11" s="17">
        <f t="shared" si="0"/>
        <v>4324.1941332298065</v>
      </c>
      <c r="R11" s="17">
        <f t="shared" si="0"/>
        <v>4822.020028395973</v>
      </c>
      <c r="S11" s="17">
        <f t="shared" si="0"/>
        <v>5297.7415075438894</v>
      </c>
      <c r="T11" s="17">
        <f t="shared" si="0"/>
        <v>5754.9941861289317</v>
      </c>
      <c r="U11" s="17">
        <f t="shared" si="0"/>
        <v>6197.3224714396147</v>
      </c>
      <c r="V11" s="17">
        <f t="shared" si="0"/>
        <v>6628.2194210861689</v>
      </c>
      <c r="W11" s="17">
        <f t="shared" si="0"/>
        <v>7051.1669716955948</v>
      </c>
      <c r="X11" s="17">
        <f t="shared" si="0"/>
        <v>7469.6770724728631</v>
      </c>
      <c r="Y11" s="17">
        <f t="shared" si="0"/>
        <v>7883.6741381714182</v>
      </c>
      <c r="Z11" s="17">
        <f t="shared" si="0"/>
        <v>9065.0736755223243</v>
      </c>
      <c r="AA11" s="17">
        <f t="shared" si="0"/>
        <v>10210.530892338324</v>
      </c>
      <c r="AB11" s="17">
        <f t="shared" si="0"/>
        <v>11326.233027070257</v>
      </c>
      <c r="AC11" s="17">
        <f t="shared" si="0"/>
        <v>12418.549396058674</v>
      </c>
      <c r="AD11" s="17">
        <f t="shared" si="0"/>
        <v>13494.09071933564</v>
      </c>
      <c r="AE11" s="17">
        <f t="shared" si="0"/>
        <v>14559.774115710527</v>
      </c>
      <c r="AF11" s="17">
        <f t="shared" si="0"/>
        <v>15622.894621214642</v>
      </c>
      <c r="AG11" s="17">
        <f t="shared" si="0"/>
        <v>16691.204189301283</v>
      </c>
      <c r="AH11" s="17">
        <f t="shared" si="0"/>
        <v>17772.999249465694</v>
      </c>
      <c r="AI11" s="17">
        <f t="shared" si="0"/>
        <v>18877.218034954607</v>
      </c>
      <c r="AJ11" s="17">
        <f t="shared" si="0"/>
        <v>20013.549042002276</v>
      </c>
      <c r="AK11" s="17">
        <f t="shared" si="0"/>
        <v>21192.552154849134</v>
      </c>
      <c r="AL11" s="17">
        <f>M11</f>
        <v>2033.6785548218575</v>
      </c>
      <c r="AM11" s="17">
        <f>Y11</f>
        <v>7883.6741381714182</v>
      </c>
      <c r="AN11" s="17">
        <f>AK11</f>
        <v>21192.552154849134</v>
      </c>
      <c r="AO11" t="s">
        <v>136</v>
      </c>
    </row>
    <row r="12" spans="1:41" ht="27.75" customHeight="1" x14ac:dyDescent="0.2">
      <c r="A12" s="19" t="s">
        <v>137</v>
      </c>
      <c r="B12" s="17">
        <f>0</f>
        <v>0</v>
      </c>
      <c r="C12" s="17">
        <f>0</f>
        <v>0</v>
      </c>
      <c r="D12" s="17">
        <f>0</f>
        <v>0</v>
      </c>
      <c r="E12" s="17">
        <f>0</f>
        <v>0</v>
      </c>
      <c r="F12" s="17">
        <f>0</f>
        <v>0</v>
      </c>
      <c r="G12" s="17">
        <f>0</f>
        <v>0</v>
      </c>
      <c r="H12" s="17">
        <f>0</f>
        <v>0</v>
      </c>
      <c r="I12" s="17">
        <f>0</f>
        <v>0</v>
      </c>
      <c r="J12" s="17">
        <f>0</f>
        <v>0</v>
      </c>
      <c r="K12" s="17">
        <f>0</f>
        <v>0</v>
      </c>
      <c r="L12" s="17">
        <f>0</f>
        <v>0</v>
      </c>
      <c r="M12" s="17">
        <f>0</f>
        <v>0</v>
      </c>
      <c r="N12" s="17">
        <f>N10</f>
        <v>20.336785548218575</v>
      </c>
      <c r="O12" s="17">
        <f>N12*(1-Assumptions!D27)+O10</f>
        <v>46.220201232825424</v>
      </c>
      <c r="P12" s="17">
        <f>O12*(1-Assumptions!D27)+P10</f>
        <v>77.072392924941553</v>
      </c>
      <c r="Q12" s="17">
        <f>P12*(1-Assumptions!D27)+Q10</f>
        <v>112.37982906686051</v>
      </c>
      <c r="R12" s="17">
        <f>Q12*(1-Assumptions!D27)+R10</f>
        <v>151.68847638181848</v>
      </c>
      <c r="S12" s="17">
        <f>R12*(1-Assumptions!D27)+S10</f>
        <v>194.59957999241456</v>
      </c>
      <c r="T12" s="17">
        <f>S12*(1-Assumptions!D27)+T10</f>
        <v>240.76600976811895</v>
      </c>
      <c r="U12" s="17">
        <f>T12*(1-Assumptions!D27)+U10</f>
        <v>289.88914128752413</v>
      </c>
      <c r="V12" s="17">
        <f>U12*(1-Assumptions!D27)+V10</f>
        <v>341.71624605685696</v>
      </c>
      <c r="W12" s="17">
        <f>V12*(1-Assumptions!D27)+W10</f>
        <v>396.03837165572867</v>
      </c>
      <c r="X12" s="17">
        <f>W12*(1-Assumptions!D27)+X10</f>
        <v>452.68869836473414</v>
      </c>
      <c r="Y12" s="17">
        <f>X12*(1-Assumptions!D27)+Y10</f>
        <v>511.5413646466971</v>
      </c>
      <c r="Z12" s="17">
        <f>Y12*(1-Assumptions!D27)+Z10</f>
        <v>572.47415826577685</v>
      </c>
      <c r="AA12" s="17">
        <f>Z12*(1-Assumptions!D27)+AA10</f>
        <v>643.08829948169796</v>
      </c>
      <c r="AB12" s="17">
        <f>AA12*(1-Assumptions!D27)+AB10</f>
        <v>722.68551792322182</v>
      </c>
      <c r="AC12" s="17">
        <f>AB12*(1-Assumptions!D27)+AC10</f>
        <v>810.65385506661164</v>
      </c>
      <c r="AD12" s="17">
        <f>AC12*(1-Assumptions!D27)+AD10</f>
        <v>906.46646409986693</v>
      </c>
      <c r="AE12" s="17">
        <f>AD12*(1-Assumptions!D27)+AE10</f>
        <v>1009.681045049728</v>
      </c>
      <c r="AF12" s="17">
        <f>AE12*(1-Assumptions!D27)+AF10</f>
        <v>1119.9399496300928</v>
      </c>
      <c r="AG12" s="17">
        <f>AF12*(1-Assumptions!D27)+AG10</f>
        <v>1236.9709976051859</v>
      </c>
      <c r="AH12" s="17">
        <f>AG12*(1-Assumptions!D27)+AH10</f>
        <v>1360.5890545820173</v>
      </c>
      <c r="AI12" s="17">
        <f>AH12*(1-Assumptions!D27)+AI10</f>
        <v>1490.6984301663035</v>
      </c>
      <c r="AJ12" s="17">
        <f>AI12*(1-Assumptions!D27)+AJ10</f>
        <v>1627.296165460029</v>
      </c>
      <c r="AK12" s="17">
        <f>AJ12*(1-Assumptions!D27)+AK10</f>
        <v>1770.4762900889507</v>
      </c>
      <c r="AL12" s="17">
        <f>M12</f>
        <v>0</v>
      </c>
      <c r="AM12" s="17">
        <f>Y12</f>
        <v>511.5413646466971</v>
      </c>
      <c r="AN12" s="17">
        <f>AK12</f>
        <v>1770.4762900889507</v>
      </c>
      <c r="AO12" t="s">
        <v>138</v>
      </c>
    </row>
    <row r="13" spans="1:41" ht="15" customHeight="1" x14ac:dyDescent="0.2">
      <c r="A13" s="9" t="s">
        <v>139</v>
      </c>
      <c r="B13" s="20">
        <f>0</f>
        <v>0</v>
      </c>
      <c r="C13" s="20">
        <f>0</f>
        <v>0</v>
      </c>
      <c r="D13" s="20">
        <f>0</f>
        <v>0</v>
      </c>
      <c r="E13" s="20">
        <f>0</f>
        <v>0</v>
      </c>
      <c r="F13" s="20">
        <f>0</f>
        <v>0</v>
      </c>
      <c r="G13" s="20">
        <f>Assumptions!D29</f>
        <v>0.6</v>
      </c>
      <c r="H13" s="20">
        <f>G13+Assumptions!D29</f>
        <v>1.2</v>
      </c>
      <c r="I13" s="20">
        <f>H13+Assumptions!D29</f>
        <v>1.7999999999999998</v>
      </c>
      <c r="J13" s="20">
        <f>I13+Assumptions!D29</f>
        <v>2.4</v>
      </c>
      <c r="K13" s="20">
        <f>J13+Assumptions!D29</f>
        <v>3</v>
      </c>
      <c r="L13" s="20">
        <f>K13+Assumptions!D29</f>
        <v>3.6</v>
      </c>
      <c r="M13" s="20">
        <f>L13+Assumptions!D29</f>
        <v>4.2</v>
      </c>
      <c r="N13" s="20">
        <f>M13+Assumptions!D30</f>
        <v>5.7</v>
      </c>
      <c r="O13" s="20">
        <f>N13+Assumptions!D30</f>
        <v>7.2</v>
      </c>
      <c r="P13" s="20">
        <f>O13+Assumptions!D30</f>
        <v>8.6999999999999993</v>
      </c>
      <c r="Q13" s="20">
        <f>P13+Assumptions!D30</f>
        <v>10.199999999999999</v>
      </c>
      <c r="R13" s="20">
        <f>Q13+Assumptions!D30</f>
        <v>11.7</v>
      </c>
      <c r="S13" s="20">
        <f>R13+Assumptions!D30</f>
        <v>13.2</v>
      </c>
      <c r="T13" s="20">
        <f>S13+Assumptions!D30</f>
        <v>14.7</v>
      </c>
      <c r="U13" s="20">
        <f>T13+Assumptions!D30</f>
        <v>16.2</v>
      </c>
      <c r="V13" s="20">
        <f>U13+Assumptions!D30</f>
        <v>17.7</v>
      </c>
      <c r="W13" s="20">
        <f>V13+Assumptions!D30</f>
        <v>19.2</v>
      </c>
      <c r="X13" s="20">
        <f>W13+Assumptions!D30</f>
        <v>20.7</v>
      </c>
      <c r="Y13" s="20">
        <f>X13+Assumptions!D30</f>
        <v>22.2</v>
      </c>
      <c r="Z13" s="20">
        <f>Y13+Assumptions!D31</f>
        <v>25.2</v>
      </c>
      <c r="AA13" s="20">
        <f>Z13+Assumptions!D31</f>
        <v>28.2</v>
      </c>
      <c r="AB13" s="20">
        <f>AA13+Assumptions!D31</f>
        <v>31.2</v>
      </c>
      <c r="AC13" s="20">
        <f>AB13+Assumptions!D31</f>
        <v>34.200000000000003</v>
      </c>
      <c r="AD13" s="20">
        <f>AC13+Assumptions!D31</f>
        <v>37.200000000000003</v>
      </c>
      <c r="AE13" s="20">
        <f>AD13+Assumptions!D31</f>
        <v>40.200000000000003</v>
      </c>
      <c r="AF13" s="20">
        <f>AE13+Assumptions!D31</f>
        <v>43.2</v>
      </c>
      <c r="AG13" s="20">
        <f>AF13+Assumptions!D31</f>
        <v>46.2</v>
      </c>
      <c r="AH13" s="20">
        <f>AG13+Assumptions!D31</f>
        <v>49.2</v>
      </c>
      <c r="AI13" s="20">
        <f>AH13+Assumptions!D31</f>
        <v>52.2</v>
      </c>
      <c r="AJ13" s="20">
        <f>AI13+Assumptions!D31</f>
        <v>55.2</v>
      </c>
      <c r="AK13" s="20">
        <f>AJ13+Assumptions!D31</f>
        <v>58.2</v>
      </c>
      <c r="AL13" s="20">
        <f>M13</f>
        <v>4.2</v>
      </c>
      <c r="AM13" s="20">
        <f>Y13</f>
        <v>22.2</v>
      </c>
      <c r="AN13" s="20">
        <f>AK13</f>
        <v>58.2</v>
      </c>
    </row>
    <row r="14" spans="1:41" ht="15" customHeight="1" x14ac:dyDescent="0.2">
      <c r="A14" s="19" t="s">
        <v>140</v>
      </c>
      <c r="B14" s="17">
        <f>0</f>
        <v>0</v>
      </c>
      <c r="C14" s="17">
        <f>0</f>
        <v>0</v>
      </c>
      <c r="D14" s="17">
        <f>0</f>
        <v>0</v>
      </c>
      <c r="E14" s="17">
        <f>0</f>
        <v>0</v>
      </c>
      <c r="F14" s="17">
        <f>0</f>
        <v>0</v>
      </c>
      <c r="G14" s="17">
        <f>Assumptions!D29*Assumptions!D32</f>
        <v>90</v>
      </c>
      <c r="H14" s="17">
        <f>G14*(1-(1-(1-Assumptions!D33)^(1/12)))+Assumptions!D29*Assumptions!D32</f>
        <v>178.52385751304507</v>
      </c>
      <c r="I14" s="17">
        <f>H14*(1-(1-(1-Assumptions!D33)^(1/12)))+Assumptions!D29*Assumptions!D32</f>
        <v>265.59578361293296</v>
      </c>
      <c r="J14" s="17">
        <f>I14*(1-(1-(1-Assumptions!D33)^(1/12)))+Assumptions!D29*Assumptions!D32</f>
        <v>351.23959227352037</v>
      </c>
      <c r="K14" s="17">
        <f>J14*(1-(1-(1-Assumptions!D33)^(1/12)))+Assumptions!D29*Assumptions!D32</f>
        <v>435.4787068817908</v>
      </c>
      <c r="L14" s="17">
        <f>K14*(1-(1-(1-Assumptions!D33)^(1/12)))+Assumptions!D29*Assumptions!D32</f>
        <v>518.33616664409749</v>
      </c>
      <c r="M14" s="17">
        <f>L14*(1-(1-(1-Assumptions!D33)^(1/12)))+Assumptions!D29*Assumptions!D32</f>
        <v>599.83463288733424</v>
      </c>
      <c r="N14" s="17">
        <f>M14*(1-(1-(1-Assumptions!D33)^(1/12)))+Assumptions!D30*Assumptions!D32</f>
        <v>814.9963952567565</v>
      </c>
      <c r="O14" s="17">
        <f>N14*(1-(1-(1-Assumptions!D33)^(1/12)))+Assumptions!D30*Assumptions!D32</f>
        <v>1026.6291640817167</v>
      </c>
      <c r="P14" s="17">
        <f>O14*(1-(1-(1-Assumptions!D33)^(1/12)))+Assumptions!D30*Assumptions!D32</f>
        <v>1234.7908204434052</v>
      </c>
      <c r="Q14" s="17">
        <f>P14*(1-(1-(1-Assumptions!D33)^(1/12)))+Assumptions!D30*Assumptions!D32</f>
        <v>1439.5382960816448</v>
      </c>
      <c r="R14" s="17">
        <f>Q14*(1-(1-(1-Assumptions!D33)^(1/12)))+Assumptions!D30*Assumptions!D32</f>
        <v>1640.9275889655914</v>
      </c>
      <c r="S14" s="17">
        <f>R14*(1-(1-(1-Assumptions!D33)^(1/12)))+Assumptions!D30*Assumptions!D32</f>
        <v>1839.0137786090515</v>
      </c>
      <c r="T14" s="17">
        <f>S14*(1-(1-(1-Assumptions!D33)^(1/12)))+Assumptions!D30*Assumptions!D32</f>
        <v>2033.8510411346035</v>
      </c>
      <c r="U14" s="17">
        <f>T14*(1-(1-(1-Assumptions!D33)^(1/12)))+Assumptions!D30*Assumptions!D32</f>
        <v>2225.4926640906451</v>
      </c>
      <c r="V14" s="17">
        <f>U14*(1-(1-(1-Assumptions!D33)^(1/12)))+Assumptions!D30*Assumptions!D32</f>
        <v>2413.9910610254155</v>
      </c>
      <c r="W14" s="17">
        <f>V14*(1-(1-(1-Assumptions!D33)^(1/12)))+Assumptions!D30*Assumptions!D32</f>
        <v>2599.3977858219823</v>
      </c>
      <c r="X14" s="17">
        <f>W14*(1-(1-(1-Assumptions!D33)^(1/12)))+Assumptions!D30*Assumptions!D32</f>
        <v>2781.7635467981117</v>
      </c>
      <c r="Y14" s="17">
        <f>X14*(1-(1-(1-Assumptions!D33)^(1/12)))+Assumptions!D30*Assumptions!D32</f>
        <v>2961.1382205748773</v>
      </c>
      <c r="Z14" s="17">
        <f>Y14*(1-(1-(1-Assumptions!D33)^(1/12)))+Assumptions!D31*Assumptions!D32</f>
        <v>3362.5708657178034</v>
      </c>
      <c r="AA14" s="17">
        <f>Z14*(1-(1-(1-Assumptions!D33)^(1/12)))+Assumptions!D31*Assumptions!D32</f>
        <v>3757.4193799368832</v>
      </c>
      <c r="AB14" s="17">
        <f>AA14*(1-(1-(1-Assumptions!D33)^(1/12)))+Assumptions!D31*Assumptions!D32</f>
        <v>4145.7917534031876</v>
      </c>
      <c r="AC14" s="17">
        <f>AB14*(1-(1-(1-Assumptions!D33)^(1/12)))+Assumptions!D31*Assumptions!D32</f>
        <v>4527.794205078013</v>
      </c>
      <c r="AD14" s="17">
        <f>AC14*(1-(1-(1-Assumptions!D33)^(1/12)))+Assumptions!D31*Assumptions!D32</f>
        <v>4903.5312117635249</v>
      </c>
      <c r="AE14" s="17">
        <f>AD14*(1-(1-(1-Assumptions!D33)^(1/12)))+Assumptions!D31*Assumptions!D32</f>
        <v>5273.1055366769288</v>
      </c>
      <c r="AF14" s="17">
        <f>AE14*(1-(1-(1-Assumptions!D33)^(1/12)))+Assumptions!D31*Assumptions!D32</f>
        <v>5636.6182575559733</v>
      </c>
      <c r="AG14" s="17">
        <f>AF14*(1-(1-(1-Assumptions!D33)^(1/12)))+Assumptions!D31*Assumptions!D32</f>
        <v>5994.1687943034831</v>
      </c>
      <c r="AH14" s="17">
        <f>AG14*(1-(1-(1-Assumptions!D33)^(1/12)))+Assumptions!D31*Assumptions!D32</f>
        <v>6345.8549361784753</v>
      </c>
      <c r="AI14" s="17">
        <f>AH14*(1-(1-(1-Assumptions!D33)^(1/12)))+Assumptions!D31*Assumptions!D32</f>
        <v>6691.7728685413022</v>
      </c>
      <c r="AJ14" s="17">
        <f>AI14*(1-(1-(1-Assumptions!D33)^(1/12)))+Assumptions!D31*Assumptions!D32</f>
        <v>7032.0171991601246</v>
      </c>
      <c r="AK14" s="17">
        <f>AJ14*(1-(1-(1-Assumptions!D33)^(1/12)))+Assumptions!D31*Assumptions!D32</f>
        <v>7366.680984085925</v>
      </c>
      <c r="AL14" s="17">
        <f>M14</f>
        <v>599.83463288733424</v>
      </c>
      <c r="AM14" s="17">
        <f>Y14</f>
        <v>2961.1382205748773</v>
      </c>
      <c r="AN14" s="17">
        <f>AK14</f>
        <v>7366.680984085925</v>
      </c>
      <c r="AO14" t="s">
        <v>141</v>
      </c>
    </row>
    <row r="15" spans="1:41" ht="15" customHeight="1" x14ac:dyDescent="0.2">
      <c r="A15" s="19" t="s">
        <v>142</v>
      </c>
      <c r="B15" s="21">
        <f t="shared" ref="B15:AK15" si="1">B11+B12+B14</f>
        <v>13</v>
      </c>
      <c r="C15" s="21">
        <f t="shared" si="1"/>
        <v>26.65</v>
      </c>
      <c r="D15" s="21">
        <f t="shared" si="1"/>
        <v>41.117699999999999</v>
      </c>
      <c r="E15" s="21">
        <f t="shared" si="1"/>
        <v>323.27563757866665</v>
      </c>
      <c r="F15" s="21">
        <f t="shared" si="1"/>
        <v>585.63847888312807</v>
      </c>
      <c r="G15" s="21">
        <f t="shared" si="1"/>
        <v>920.38959721456831</v>
      </c>
      <c r="H15" s="21">
        <f t="shared" si="1"/>
        <v>1238.0743990987921</v>
      </c>
      <c r="I15" s="21">
        <f t="shared" si="1"/>
        <v>1540.5995613007533</v>
      </c>
      <c r="J15" s="21">
        <f t="shared" si="1"/>
        <v>1829.7535216137965</v>
      </c>
      <c r="K15" s="21">
        <f t="shared" si="1"/>
        <v>2107.2265083383209</v>
      </c>
      <c r="L15" s="21">
        <f t="shared" si="1"/>
        <v>2374.6296168702861</v>
      </c>
      <c r="M15" s="21">
        <f t="shared" si="1"/>
        <v>2633.5131877091917</v>
      </c>
      <c r="N15" s="21">
        <f t="shared" si="1"/>
        <v>3494.8534986844247</v>
      </c>
      <c r="O15" s="21">
        <f t="shared" si="1"/>
        <v>4319.8392388410439</v>
      </c>
      <c r="P15" s="21">
        <f t="shared" si="1"/>
        <v>5112.3602027975385</v>
      </c>
      <c r="Q15" s="21">
        <f t="shared" si="1"/>
        <v>5876.1122583783117</v>
      </c>
      <c r="R15" s="21">
        <f t="shared" si="1"/>
        <v>6614.6360937433838</v>
      </c>
      <c r="S15" s="21">
        <f t="shared" si="1"/>
        <v>7331.354866145356</v>
      </c>
      <c r="T15" s="21">
        <f t="shared" si="1"/>
        <v>8029.6112370316541</v>
      </c>
      <c r="U15" s="21">
        <f t="shared" si="1"/>
        <v>8712.7042768177835</v>
      </c>
      <c r="V15" s="21">
        <f t="shared" si="1"/>
        <v>9383.9267281684406</v>
      </c>
      <c r="W15" s="21">
        <f t="shared" si="1"/>
        <v>10046.603129173305</v>
      </c>
      <c r="X15" s="21">
        <f t="shared" si="1"/>
        <v>10704.12931763571</v>
      </c>
      <c r="Y15" s="21">
        <f t="shared" si="1"/>
        <v>11356.353723392993</v>
      </c>
      <c r="Z15" s="21">
        <f t="shared" si="1"/>
        <v>13000.118699505905</v>
      </c>
      <c r="AA15" s="21">
        <f t="shared" si="1"/>
        <v>14611.038571756904</v>
      </c>
      <c r="AB15" s="21">
        <f t="shared" si="1"/>
        <v>16194.710298396667</v>
      </c>
      <c r="AC15" s="21">
        <f t="shared" si="1"/>
        <v>17756.997456203298</v>
      </c>
      <c r="AD15" s="21">
        <f t="shared" si="1"/>
        <v>19304.088395199033</v>
      </c>
      <c r="AE15" s="21">
        <f t="shared" si="1"/>
        <v>20842.560697437184</v>
      </c>
      <c r="AF15" s="21">
        <f t="shared" si="1"/>
        <v>22379.452828400706</v>
      </c>
      <c r="AG15" s="21">
        <f t="shared" si="1"/>
        <v>23922.343981209953</v>
      </c>
      <c r="AH15" s="21">
        <f t="shared" si="1"/>
        <v>25479.443240226188</v>
      </c>
      <c r="AI15" s="21">
        <f t="shared" si="1"/>
        <v>27059.689333662212</v>
      </c>
      <c r="AJ15" s="21">
        <f t="shared" si="1"/>
        <v>28672.862406622429</v>
      </c>
      <c r="AK15" s="21">
        <f t="shared" si="1"/>
        <v>30329.709429024009</v>
      </c>
      <c r="AL15" s="21">
        <f>M15</f>
        <v>2633.5131877091917</v>
      </c>
      <c r="AM15" s="21">
        <f>Y15</f>
        <v>11356.353723392993</v>
      </c>
      <c r="AN15" s="21">
        <f>AK15</f>
        <v>30329.709429024009</v>
      </c>
      <c r="AO15" t="s">
        <v>143</v>
      </c>
    </row>
    <row r="17" spans="1:41" ht="15" customHeight="1" x14ac:dyDescent="0.2">
      <c r="A17" s="6" t="s">
        <v>144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ht="15" customHeight="1" x14ac:dyDescent="0.2">
      <c r="A18" s="9" t="s">
        <v>145</v>
      </c>
      <c r="B18" s="22">
        <f>B11*Assumptions!D4</f>
        <v>64.87</v>
      </c>
      <c r="C18" s="22">
        <f>(B11+C11)/2*Assumptions!D4</f>
        <v>98.926749999999998</v>
      </c>
      <c r="D18" s="22">
        <f>(C11+D11)/2*Assumptions!D4</f>
        <v>169.0804115</v>
      </c>
      <c r="E18" s="22">
        <f>(D11+E11)/2*Assumptions!D4</f>
        <v>909.16137725877331</v>
      </c>
      <c r="F18" s="22">
        <f>(E11+F11)/2*Assumptions!D4</f>
        <v>2267.7407205721779</v>
      </c>
      <c r="G18" s="22">
        <f>(F11+G11)/2*Assumptions!D4</f>
        <v>3532.9900498637526</v>
      </c>
      <c r="H18" s="22">
        <f>(G11+H11)/2*Assumptions!D4</f>
        <v>4715.4006463067872</v>
      </c>
      <c r="I18" s="22">
        <f>(H11+I11)/2*Assumptions!D4</f>
        <v>5824.7130265875512</v>
      </c>
      <c r="J18" s="22">
        <f>(I11+J11)/2*Assumptions!D4</f>
        <v>6870.0266790350997</v>
      </c>
      <c r="K18" s="22">
        <f>(J11+K11)/2*Assumptions!D4</f>
        <v>7859.903018338031</v>
      </c>
      <c r="L18" s="22">
        <f>(K11+L11)/2*Assumptions!D4</f>
        <v>8802.4629229483817</v>
      </c>
      <c r="M18" s="22">
        <f>(L11+M11)/2*Assumptions!D4</f>
        <v>9705.4801525948751</v>
      </c>
      <c r="N18" s="22">
        <f>(M11+N11)/2*Assumptions!D4</f>
        <v>11709.531187389763</v>
      </c>
      <c r="O18" s="22">
        <f>(N11+O11)/2*Assumptions!D4</f>
        <v>14736.742927557852</v>
      </c>
      <c r="P18" s="22">
        <f>(O11+P11)/2*Assumptions!D4</f>
        <v>17583.479723074455</v>
      </c>
      <c r="Q18" s="22">
        <f>(P11+Q11)/2*Assumptions!D4</f>
        <v>20271.104351034202</v>
      </c>
      <c r="R18" s="22">
        <f>(Q11+R11)/2*Assumptions!D4</f>
        <v>22819.804333256321</v>
      </c>
      <c r="S18" s="22">
        <f>(R11+S11)/2*Assumptions!D4</f>
        <v>25248.805032169959</v>
      </c>
      <c r="T18" s="22">
        <f>(S11+T11)/2*Assumptions!D4</f>
        <v>27576.575555713691</v>
      </c>
      <c r="U18" s="22">
        <f>(T11+U11)/2*Assumptions!D4</f>
        <v>29821.030060633526</v>
      </c>
      <c r="V18" s="22">
        <f>(U11+V11)/2*Assumptions!D4</f>
        <v>31999.727021851832</v>
      </c>
      <c r="W18" s="22">
        <f>(V11+W11)/2*Assumptions!D4</f>
        <v>34130.069049990503</v>
      </c>
      <c r="X18" s="22">
        <f>(W11+X11)/2*Assumptions!D4</f>
        <v>36229.505890200307</v>
      </c>
      <c r="Y18" s="22">
        <f>(X11+Y11)/2*Assumptions!D4</f>
        <v>38306.611270557485</v>
      </c>
      <c r="Z18" s="22">
        <f>(Y11+Z11)/2*Assumptions!D4</f>
        <v>42287.125795165892</v>
      </c>
      <c r="AA18" s="22">
        <f>(Z11+AA11)/2*Assumptions!D4</f>
        <v>48092.633396812314</v>
      </c>
      <c r="AB18" s="22">
        <f>(AA11+AB11)/2*Assumptions!D4</f>
        <v>53734.225978924405</v>
      </c>
      <c r="AC18" s="22">
        <f>(AB11+AC11)/2*Assumptions!D4</f>
        <v>59243.232145706686</v>
      </c>
      <c r="AD18" s="22">
        <f>(AC11+AD11)/2*Assumptions!D4</f>
        <v>64652.037087908822</v>
      </c>
      <c r="AE18" s="22">
        <f>(AD11+AE11)/2*Assumptions!D4</f>
        <v>69994.392763440192</v>
      </c>
      <c r="AF18" s="22">
        <f>(AE11+AF11)/2*Assumptions!D4</f>
        <v>75305.758498628289</v>
      </c>
      <c r="AG18" s="22">
        <f>(AF11+AG11)/2*Assumptions!D4</f>
        <v>80623.676532237238</v>
      </c>
      <c r="AH18" s="22">
        <f>(AG11+AH11)/2*Assumptions!D4</f>
        <v>85988.187579723613</v>
      </c>
      <c r="AI18" s="22">
        <f>(AH11+AI11)/2*Assumptions!D4</f>
        <v>91442.292124628657</v>
      </c>
      <c r="AJ18" s="22">
        <f>(AI11+AJ11)/2*Assumptions!D4</f>
        <v>97032.463857007417</v>
      </c>
      <c r="AK18" s="22">
        <f>(AJ11+AK11)/2*Assumptions!D4</f>
        <v>102809.22248614427</v>
      </c>
      <c r="AL18" s="22">
        <f t="shared" ref="AL18:AL24" si="2">SUM(B18:M18)</f>
        <v>50820.755755005433</v>
      </c>
      <c r="AM18" s="22">
        <f t="shared" ref="AM18:AM24" si="3">SUM(N18:Y18)</f>
        <v>310432.98640342994</v>
      </c>
      <c r="AN18" s="22">
        <f t="shared" ref="AN18:AN24" si="4">SUM(Z18:AK18)</f>
        <v>871205.24824632786</v>
      </c>
    </row>
    <row r="19" spans="1:41" ht="15" customHeight="1" x14ac:dyDescent="0.2">
      <c r="A19" s="9" t="s">
        <v>146</v>
      </c>
      <c r="B19" s="22">
        <f>0</f>
        <v>0</v>
      </c>
      <c r="C19" s="22">
        <f>0</f>
        <v>0</v>
      </c>
      <c r="D19" s="22">
        <f>0</f>
        <v>0</v>
      </c>
      <c r="E19" s="22">
        <f>0</f>
        <v>0</v>
      </c>
      <c r="F19" s="22">
        <f>0</f>
        <v>0</v>
      </c>
      <c r="G19" s="22">
        <f>0</f>
        <v>0</v>
      </c>
      <c r="H19" s="22">
        <f>0</f>
        <v>0</v>
      </c>
      <c r="I19" s="22">
        <f>0</f>
        <v>0</v>
      </c>
      <c r="J19" s="22">
        <f>0</f>
        <v>0</v>
      </c>
      <c r="K19" s="22">
        <f>0</f>
        <v>0</v>
      </c>
      <c r="L19" s="22">
        <f>0</f>
        <v>0</v>
      </c>
      <c r="M19" s="22">
        <f>0</f>
        <v>0</v>
      </c>
      <c r="N19" s="22">
        <f>N12*Assumptions!D5</f>
        <v>264.17484427135929</v>
      </c>
      <c r="O19" s="22">
        <f>(N12+O12)/2*Assumptions!D5</f>
        <v>432.2876291428808</v>
      </c>
      <c r="P19" s="22">
        <f>(O12+P12)/2*Assumptions!D5</f>
        <v>800.78539905469654</v>
      </c>
      <c r="Q19" s="22">
        <f>(P12+Q12)/2*Assumptions!D5</f>
        <v>1230.4921818367543</v>
      </c>
      <c r="R19" s="22">
        <f>(Q12+R12)/2*Assumptions!D5</f>
        <v>1715.1236438891701</v>
      </c>
      <c r="S19" s="22">
        <f>(R12+S12)/2*Assumptions!D5</f>
        <v>2249.1409261506437</v>
      </c>
      <c r="T19" s="22">
        <f>(S12+T12)/2*Assumptions!D5</f>
        <v>2827.6995054946651</v>
      </c>
      <c r="U19" s="22">
        <f>(T12+U12)/2*Assumptions!D5</f>
        <v>3446.6052061064015</v>
      </c>
      <c r="V19" s="22">
        <f>(U12+V12)/2*Assumptions!D5</f>
        <v>4102.2769908017553</v>
      </c>
      <c r="W19" s="22">
        <f>(V12+W12)/2*Assumptions!D5</f>
        <v>4791.7162420432442</v>
      </c>
      <c r="X19" s="22">
        <f>(W12+X12)/2*Assumptions!D5</f>
        <v>5512.4823197829064</v>
      </c>
      <c r="Y19" s="22">
        <f>(X12+Y12)/2*Assumptions!D5</f>
        <v>6262.6742592592454</v>
      </c>
      <c r="Z19" s="22">
        <f>(Y12+Z12)/2*Assumptions!D5</f>
        <v>7040.6808213165177</v>
      </c>
      <c r="AA19" s="22">
        <f>(Z12+AA12)/2*Assumptions!D5</f>
        <v>7895.0781630698493</v>
      </c>
      <c r="AB19" s="22">
        <f>(AA12+AB12)/2*Assumptions!D5</f>
        <v>8870.7009440449547</v>
      </c>
      <c r="AC19" s="22">
        <f>(AB12+AC12)/2*Assumptions!D5</f>
        <v>9959.0392275689683</v>
      </c>
      <c r="AD19" s="22">
        <f>(AC12+AD12)/2*Assumptions!D5</f>
        <v>11152.696472986279</v>
      </c>
      <c r="AE19" s="22">
        <f>(AD12+AE12)/2*Assumptions!D5</f>
        <v>12445.37807192662</v>
      </c>
      <c r="AF19" s="22">
        <f>(AE12+AF12)/2*Assumptions!D5</f>
        <v>13831.888360445437</v>
      </c>
      <c r="AG19" s="22">
        <f>(AF12+AG12)/2*Assumptions!D5</f>
        <v>15308.136602293134</v>
      </c>
      <c r="AH19" s="22">
        <f>(AG12+AH12)/2*Assumptions!D5</f>
        <v>16871.152538955885</v>
      </c>
      <c r="AI19" s="22">
        <f>(AH12+AI12)/2*Assumptions!D5</f>
        <v>18519.112213440345</v>
      </c>
      <c r="AJ19" s="22">
        <f>(AI12+AJ12)/2*Assumptions!D5</f>
        <v>20251.374898593032</v>
      </c>
      <c r="AK19" s="22">
        <f>(AJ12+AK12)/2*Assumptions!D5</f>
        <v>22068.532098790623</v>
      </c>
      <c r="AL19" s="22">
        <f t="shared" si="2"/>
        <v>0</v>
      </c>
      <c r="AM19" s="22">
        <f t="shared" si="3"/>
        <v>33635.459147833724</v>
      </c>
      <c r="AN19" s="22">
        <f t="shared" si="4"/>
        <v>164213.77041343166</v>
      </c>
    </row>
    <row r="20" spans="1:41" ht="15" customHeight="1" x14ac:dyDescent="0.2">
      <c r="A20" s="9" t="s">
        <v>147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G14*Assumptions!D6</f>
        <v>359.1</v>
      </c>
      <c r="H20" s="22">
        <f>H14*Assumptions!D6</f>
        <v>712.3101914770499</v>
      </c>
      <c r="I20" s="22">
        <f>I14*Assumptions!D6</f>
        <v>1059.7271766156025</v>
      </c>
      <c r="J20" s="22">
        <f>J14*Assumptions!D6</f>
        <v>1401.4459731713464</v>
      </c>
      <c r="K20" s="22">
        <f>K14*Assumptions!D6</f>
        <v>1737.5600404583454</v>
      </c>
      <c r="L20" s="22">
        <f>L14*Assumptions!D6</f>
        <v>2068.1613049099492</v>
      </c>
      <c r="M20" s="22">
        <f>M14*Assumptions!D6</f>
        <v>2393.3401852204638</v>
      </c>
      <c r="N20" s="22">
        <f>N14*Assumptions!D7</f>
        <v>4881.8284075879719</v>
      </c>
      <c r="O20" s="22">
        <f>O14*Assumptions!D7</f>
        <v>6149.5086928494829</v>
      </c>
      <c r="P20" s="22">
        <f>P14*Assumptions!D7</f>
        <v>7396.3970144559971</v>
      </c>
      <c r="Q20" s="22">
        <f>Q14*Assumptions!D7</f>
        <v>8622.8343935290522</v>
      </c>
      <c r="R20" s="22">
        <f>R14*Assumptions!D7</f>
        <v>9829.1562579038928</v>
      </c>
      <c r="S20" s="22">
        <f>S14*Assumptions!D7</f>
        <v>11015.692533868219</v>
      </c>
      <c r="T20" s="22">
        <f>T14*Assumptions!D7</f>
        <v>12182.767736396276</v>
      </c>
      <c r="U20" s="22">
        <f>U14*Assumptions!D7</f>
        <v>13330.701057902965</v>
      </c>
      <c r="V20" s="22">
        <f>V14*Assumptions!D7</f>
        <v>14459.806455542239</v>
      </c>
      <c r="W20" s="22">
        <f>W14*Assumptions!D7</f>
        <v>15570.392737073675</v>
      </c>
      <c r="X20" s="22">
        <f>X14*Assumptions!D7</f>
        <v>16662.763645320691</v>
      </c>
      <c r="Y20" s="22">
        <f>Y14*Assumptions!D7</f>
        <v>17737.217941243514</v>
      </c>
      <c r="Z20" s="22">
        <f>Z14*Assumptions!D7</f>
        <v>20141.799485649644</v>
      </c>
      <c r="AA20" s="22">
        <f>AA14*Assumptions!D7</f>
        <v>22506.942085821931</v>
      </c>
      <c r="AB20" s="22">
        <f>AB14*Assumptions!D7</f>
        <v>24833.292602885096</v>
      </c>
      <c r="AC20" s="22">
        <f>AC14*Assumptions!D7</f>
        <v>27121.487288417298</v>
      </c>
      <c r="AD20" s="22">
        <f>AD14*Assumptions!D7</f>
        <v>29372.151958463513</v>
      </c>
      <c r="AE20" s="22">
        <f>AE14*Assumptions!D7</f>
        <v>31585.902164694806</v>
      </c>
      <c r="AF20" s="22">
        <f>AF14*Assumptions!D7</f>
        <v>33763.343362760279</v>
      </c>
      <c r="AG20" s="22">
        <f>AG14*Assumptions!D7</f>
        <v>35905.071077877867</v>
      </c>
      <c r="AH20" s="22">
        <f>AH14*Assumptions!D7</f>
        <v>38011.671067709067</v>
      </c>
      <c r="AI20" s="22">
        <f>AI14*Assumptions!D7</f>
        <v>40083.719482562403</v>
      </c>
      <c r="AJ20" s="22">
        <f>AJ14*Assumptions!D7</f>
        <v>42121.783022969146</v>
      </c>
      <c r="AK20" s="22">
        <f>AK14*Assumptions!D7</f>
        <v>44126.419094674689</v>
      </c>
      <c r="AL20" s="22">
        <f t="shared" si="2"/>
        <v>9731.6448718527572</v>
      </c>
      <c r="AM20" s="22">
        <f t="shared" si="3"/>
        <v>137839.06687367399</v>
      </c>
      <c r="AN20" s="22">
        <f t="shared" si="4"/>
        <v>389573.58269448573</v>
      </c>
    </row>
    <row r="21" spans="1:41" ht="15" customHeight="1" x14ac:dyDescent="0.2">
      <c r="A21" s="9" t="s">
        <v>148</v>
      </c>
      <c r="B21" s="22">
        <f>0</f>
        <v>0</v>
      </c>
      <c r="C21" s="22">
        <f>0</f>
        <v>0</v>
      </c>
      <c r="D21" s="22">
        <f>Assumptions!D35</f>
        <v>750</v>
      </c>
      <c r="E21" s="22">
        <f>Assumptions!D35</f>
        <v>750</v>
      </c>
      <c r="F21" s="22">
        <f>Assumptions!D35</f>
        <v>750</v>
      </c>
      <c r="G21" s="22">
        <f>Assumptions!D35</f>
        <v>750</v>
      </c>
      <c r="H21" s="22">
        <f>Assumptions!D35</f>
        <v>750</v>
      </c>
      <c r="I21" s="22">
        <f>Assumptions!D35</f>
        <v>750</v>
      </c>
      <c r="J21" s="22">
        <f>Assumptions!D35</f>
        <v>750</v>
      </c>
      <c r="K21" s="22">
        <f>Assumptions!D35</f>
        <v>750</v>
      </c>
      <c r="L21" s="22">
        <f>Assumptions!D35</f>
        <v>750</v>
      </c>
      <c r="M21" s="22">
        <f>Assumptions!D35</f>
        <v>750</v>
      </c>
      <c r="N21" s="22">
        <f>Assumptions!D36</f>
        <v>1500</v>
      </c>
      <c r="O21" s="22">
        <f>Assumptions!D36</f>
        <v>1500</v>
      </c>
      <c r="P21" s="22">
        <f>Assumptions!D36</f>
        <v>1500</v>
      </c>
      <c r="Q21" s="22">
        <f>Assumptions!D36</f>
        <v>1500</v>
      </c>
      <c r="R21" s="22">
        <f>Assumptions!D36</f>
        <v>1500</v>
      </c>
      <c r="S21" s="22">
        <f>Assumptions!D36</f>
        <v>1500</v>
      </c>
      <c r="T21" s="22">
        <f>Assumptions!D36</f>
        <v>1500</v>
      </c>
      <c r="U21" s="22">
        <f>Assumptions!D36</f>
        <v>1500</v>
      </c>
      <c r="V21" s="22">
        <f>Assumptions!D36</f>
        <v>1500</v>
      </c>
      <c r="W21" s="22">
        <f>Assumptions!D36</f>
        <v>1500</v>
      </c>
      <c r="X21" s="22">
        <f>Assumptions!D36</f>
        <v>1500</v>
      </c>
      <c r="Y21" s="22">
        <f>Assumptions!D36</f>
        <v>1500</v>
      </c>
      <c r="Z21" s="22">
        <f>Assumptions!D37</f>
        <v>2000</v>
      </c>
      <c r="AA21" s="22">
        <f>Assumptions!D37</f>
        <v>2000</v>
      </c>
      <c r="AB21" s="22">
        <f>Assumptions!D37</f>
        <v>2000</v>
      </c>
      <c r="AC21" s="22">
        <f>Assumptions!D37</f>
        <v>2000</v>
      </c>
      <c r="AD21" s="22">
        <f>Assumptions!D37</f>
        <v>2000</v>
      </c>
      <c r="AE21" s="22">
        <f>Assumptions!D37</f>
        <v>2000</v>
      </c>
      <c r="AF21" s="22">
        <f>Assumptions!D37</f>
        <v>2000</v>
      </c>
      <c r="AG21" s="22">
        <f>Assumptions!D37</f>
        <v>2000</v>
      </c>
      <c r="AH21" s="22">
        <f>Assumptions!D37</f>
        <v>2000</v>
      </c>
      <c r="AI21" s="22">
        <f>Assumptions!D37</f>
        <v>2000</v>
      </c>
      <c r="AJ21" s="22">
        <f>Assumptions!D37</f>
        <v>2000</v>
      </c>
      <c r="AK21" s="22">
        <f>Assumptions!D37</f>
        <v>2000</v>
      </c>
      <c r="AL21" s="22">
        <f t="shared" si="2"/>
        <v>7500</v>
      </c>
      <c r="AM21" s="22">
        <f t="shared" si="3"/>
        <v>18000</v>
      </c>
      <c r="AN21" s="22">
        <f t="shared" si="4"/>
        <v>24000</v>
      </c>
      <c r="AO21" t="s">
        <v>149</v>
      </c>
    </row>
    <row r="22" spans="1:41" ht="15" customHeight="1" x14ac:dyDescent="0.2">
      <c r="A22" s="9" t="s">
        <v>150</v>
      </c>
      <c r="B22" s="22">
        <f>0</f>
        <v>0</v>
      </c>
      <c r="C22" s="22">
        <f>0</f>
        <v>0</v>
      </c>
      <c r="D22" s="22">
        <f>0</f>
        <v>0</v>
      </c>
      <c r="E22" s="22">
        <f>0</f>
        <v>0</v>
      </c>
      <c r="F22" s="22">
        <f>0</f>
        <v>0</v>
      </c>
      <c r="G22" s="22">
        <f>G13*Assumptions!D39</f>
        <v>240</v>
      </c>
      <c r="H22" s="22">
        <f>H13*Assumptions!D39</f>
        <v>480</v>
      </c>
      <c r="I22" s="22">
        <f>I13*Assumptions!D39</f>
        <v>719.99999999999989</v>
      </c>
      <c r="J22" s="22">
        <f>J13*Assumptions!D39</f>
        <v>960</v>
      </c>
      <c r="K22" s="22">
        <f>K13*Assumptions!D39</f>
        <v>1200</v>
      </c>
      <c r="L22" s="22">
        <f>L13*Assumptions!D39</f>
        <v>1440</v>
      </c>
      <c r="M22" s="22">
        <f>M13*Assumptions!D39</f>
        <v>1680</v>
      </c>
      <c r="N22" s="22">
        <f>N13*Assumptions!D39</f>
        <v>2280</v>
      </c>
      <c r="O22" s="22">
        <f>O13*Assumptions!D39</f>
        <v>2880</v>
      </c>
      <c r="P22" s="22">
        <f>P13*Assumptions!D39</f>
        <v>3479.9999999999995</v>
      </c>
      <c r="Q22" s="22">
        <f>Q13*Assumptions!D39</f>
        <v>4079.9999999999995</v>
      </c>
      <c r="R22" s="22">
        <f>R13*Assumptions!D39</f>
        <v>4680</v>
      </c>
      <c r="S22" s="22">
        <f>S13*Assumptions!D39</f>
        <v>5280</v>
      </c>
      <c r="T22" s="22">
        <f>T13*Assumptions!D39</f>
        <v>5880</v>
      </c>
      <c r="U22" s="22">
        <f>U13*Assumptions!D39</f>
        <v>6480</v>
      </c>
      <c r="V22" s="22">
        <f>V13*Assumptions!D39</f>
        <v>7080</v>
      </c>
      <c r="W22" s="22">
        <f>W13*Assumptions!D39</f>
        <v>7680</v>
      </c>
      <c r="X22" s="22">
        <f>X13*Assumptions!D39</f>
        <v>8280</v>
      </c>
      <c r="Y22" s="22">
        <f>Y13*Assumptions!D39</f>
        <v>8880</v>
      </c>
      <c r="Z22" s="22">
        <f>Z13*Assumptions!D39</f>
        <v>10080</v>
      </c>
      <c r="AA22" s="22">
        <f>AA13*Assumptions!D39</f>
        <v>11280</v>
      </c>
      <c r="AB22" s="22">
        <f>AB13*Assumptions!D39</f>
        <v>12480</v>
      </c>
      <c r="AC22" s="22">
        <f>AC13*Assumptions!D39</f>
        <v>13680.000000000002</v>
      </c>
      <c r="AD22" s="22">
        <f>AD13*Assumptions!D39</f>
        <v>14880.000000000002</v>
      </c>
      <c r="AE22" s="22">
        <f>AE13*Assumptions!D39</f>
        <v>16080.000000000002</v>
      </c>
      <c r="AF22" s="22">
        <f>AF13*Assumptions!D39</f>
        <v>17280</v>
      </c>
      <c r="AG22" s="22">
        <f>AG13*Assumptions!D39</f>
        <v>18480</v>
      </c>
      <c r="AH22" s="22">
        <f>AH13*Assumptions!D39</f>
        <v>19680</v>
      </c>
      <c r="AI22" s="22">
        <f>AI13*Assumptions!D39</f>
        <v>20880</v>
      </c>
      <c r="AJ22" s="22">
        <f>AJ13*Assumptions!D39</f>
        <v>22080</v>
      </c>
      <c r="AK22" s="22">
        <f>AK13*Assumptions!D39</f>
        <v>23280</v>
      </c>
      <c r="AL22" s="22">
        <f t="shared" si="2"/>
        <v>6720</v>
      </c>
      <c r="AM22" s="22">
        <f t="shared" si="3"/>
        <v>66960</v>
      </c>
      <c r="AN22" s="22">
        <f t="shared" si="4"/>
        <v>200160</v>
      </c>
    </row>
    <row r="23" spans="1:41" ht="15" customHeight="1" x14ac:dyDescent="0.2">
      <c r="A23" s="9" t="s">
        <v>151</v>
      </c>
      <c r="B23" s="22">
        <f>0</f>
        <v>0</v>
      </c>
      <c r="C23" s="22">
        <f>0</f>
        <v>0</v>
      </c>
      <c r="D23" s="22">
        <f>0</f>
        <v>0</v>
      </c>
      <c r="E23" s="22">
        <f>0</f>
        <v>0</v>
      </c>
      <c r="F23" s="22">
        <f>0</f>
        <v>0</v>
      </c>
      <c r="G23" s="22">
        <f>0</f>
        <v>0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0</f>
        <v>0</v>
      </c>
      <c r="M23" s="22">
        <f>0</f>
        <v>0</v>
      </c>
      <c r="N23" s="22">
        <f>0</f>
        <v>0</v>
      </c>
      <c r="O23" s="22">
        <f>0</f>
        <v>0</v>
      </c>
      <c r="P23" s="22">
        <f>0</f>
        <v>0</v>
      </c>
      <c r="Q23" s="22">
        <f>0</f>
        <v>0</v>
      </c>
      <c r="R23" s="22">
        <f>0</f>
        <v>0</v>
      </c>
      <c r="S23" s="22">
        <f>0</f>
        <v>0</v>
      </c>
      <c r="T23" s="22">
        <f>0</f>
        <v>0</v>
      </c>
      <c r="U23" s="22">
        <f>0</f>
        <v>0</v>
      </c>
      <c r="V23" s="22">
        <f>0</f>
        <v>0</v>
      </c>
      <c r="W23" s="22">
        <f>0</f>
        <v>0</v>
      </c>
      <c r="X23" s="22">
        <f>0</f>
        <v>0</v>
      </c>
      <c r="Y23" s="22">
        <f>0</f>
        <v>0</v>
      </c>
      <c r="Z23" s="22">
        <f>Assumptions!D38</f>
        <v>2000</v>
      </c>
      <c r="AA23" s="22">
        <f>Assumptions!D38</f>
        <v>2000</v>
      </c>
      <c r="AB23" s="22">
        <f>Assumptions!D38</f>
        <v>2000</v>
      </c>
      <c r="AC23" s="22">
        <f>Assumptions!D38</f>
        <v>2000</v>
      </c>
      <c r="AD23" s="22">
        <f>Assumptions!D38</f>
        <v>2000</v>
      </c>
      <c r="AE23" s="22">
        <f>Assumptions!D38</f>
        <v>2000</v>
      </c>
      <c r="AF23" s="22">
        <f>Assumptions!D38</f>
        <v>2000</v>
      </c>
      <c r="AG23" s="22">
        <f>Assumptions!D38</f>
        <v>2000</v>
      </c>
      <c r="AH23" s="22">
        <f>Assumptions!D38</f>
        <v>2000</v>
      </c>
      <c r="AI23" s="22">
        <f>Assumptions!D38</f>
        <v>2000</v>
      </c>
      <c r="AJ23" s="22">
        <f>Assumptions!D38</f>
        <v>2000</v>
      </c>
      <c r="AK23" s="22">
        <f>Assumptions!D38</f>
        <v>2000</v>
      </c>
      <c r="AL23" s="22">
        <f t="shared" si="2"/>
        <v>0</v>
      </c>
      <c r="AM23" s="22">
        <f t="shared" si="3"/>
        <v>0</v>
      </c>
      <c r="AN23" s="22">
        <f t="shared" si="4"/>
        <v>24000</v>
      </c>
    </row>
    <row r="24" spans="1:41" s="37" customFormat="1" ht="15" customHeight="1" x14ac:dyDescent="0.2">
      <c r="A24" s="36" t="s">
        <v>152</v>
      </c>
      <c r="B24" s="33">
        <f t="shared" ref="B24:AK24" si="5">B18+B19+B20+B21+B22+B23</f>
        <v>64.87</v>
      </c>
      <c r="C24" s="33">
        <f t="shared" si="5"/>
        <v>98.926749999999998</v>
      </c>
      <c r="D24" s="33">
        <f t="shared" si="5"/>
        <v>919.08041149999997</v>
      </c>
      <c r="E24" s="33">
        <f t="shared" si="5"/>
        <v>1659.1613772587734</v>
      </c>
      <c r="F24" s="33">
        <f t="shared" si="5"/>
        <v>3017.7407205721779</v>
      </c>
      <c r="G24" s="33">
        <f t="shared" si="5"/>
        <v>4882.0900498637529</v>
      </c>
      <c r="H24" s="33">
        <f t="shared" si="5"/>
        <v>6657.7108377838367</v>
      </c>
      <c r="I24" s="33">
        <f t="shared" si="5"/>
        <v>8354.4402032031539</v>
      </c>
      <c r="J24" s="33">
        <f t="shared" si="5"/>
        <v>9981.4726522064466</v>
      </c>
      <c r="K24" s="33">
        <f t="shared" si="5"/>
        <v>11547.463058796377</v>
      </c>
      <c r="L24" s="33">
        <f t="shared" si="5"/>
        <v>13060.62422785833</v>
      </c>
      <c r="M24" s="33">
        <f t="shared" si="5"/>
        <v>14528.820337815339</v>
      </c>
      <c r="N24" s="33">
        <f t="shared" si="5"/>
        <v>20635.534439249095</v>
      </c>
      <c r="O24" s="33">
        <f t="shared" si="5"/>
        <v>25698.539249550216</v>
      </c>
      <c r="P24" s="33">
        <f t="shared" si="5"/>
        <v>30760.66213658515</v>
      </c>
      <c r="Q24" s="33">
        <f t="shared" si="5"/>
        <v>35704.430926400011</v>
      </c>
      <c r="R24" s="33">
        <f t="shared" si="5"/>
        <v>40544.084235049384</v>
      </c>
      <c r="S24" s="33">
        <f t="shared" si="5"/>
        <v>45293.638492188824</v>
      </c>
      <c r="T24" s="33">
        <f t="shared" si="5"/>
        <v>49967.042797604634</v>
      </c>
      <c r="U24" s="33">
        <f t="shared" si="5"/>
        <v>54578.336324642893</v>
      </c>
      <c r="V24" s="33">
        <f t="shared" si="5"/>
        <v>59141.810468195828</v>
      </c>
      <c r="W24" s="33">
        <f t="shared" si="5"/>
        <v>63672.178029107425</v>
      </c>
      <c r="X24" s="33">
        <f t="shared" si="5"/>
        <v>68184.751855303912</v>
      </c>
      <c r="Y24" s="33">
        <f t="shared" si="5"/>
        <v>72686.503471060249</v>
      </c>
      <c r="Z24" s="33">
        <f t="shared" si="5"/>
        <v>83549.606102132064</v>
      </c>
      <c r="AA24" s="33">
        <f t="shared" si="5"/>
        <v>93774.653645704093</v>
      </c>
      <c r="AB24" s="33">
        <f t="shared" si="5"/>
        <v>103918.21952585445</v>
      </c>
      <c r="AC24" s="33">
        <f t="shared" si="5"/>
        <v>114003.75866169295</v>
      </c>
      <c r="AD24" s="33">
        <f t="shared" si="5"/>
        <v>124056.88551935861</v>
      </c>
      <c r="AE24" s="33">
        <f t="shared" si="5"/>
        <v>134105.67300006162</v>
      </c>
      <c r="AF24" s="33">
        <f t="shared" si="5"/>
        <v>144180.99022183398</v>
      </c>
      <c r="AG24" s="33">
        <f t="shared" si="5"/>
        <v>154316.88421240824</v>
      </c>
      <c r="AH24" s="33">
        <f t="shared" si="5"/>
        <v>164551.01118638855</v>
      </c>
      <c r="AI24" s="33">
        <f t="shared" si="5"/>
        <v>174925.12382063142</v>
      </c>
      <c r="AJ24" s="33">
        <f t="shared" si="5"/>
        <v>185485.62177856959</v>
      </c>
      <c r="AK24" s="33">
        <f t="shared" si="5"/>
        <v>196284.17367960958</v>
      </c>
      <c r="AL24" s="33">
        <f t="shared" si="2"/>
        <v>74772.400626858187</v>
      </c>
      <c r="AM24" s="33">
        <f t="shared" si="3"/>
        <v>566867.51242493768</v>
      </c>
      <c r="AN24" s="33">
        <f t="shared" si="4"/>
        <v>1673152.6013542453</v>
      </c>
    </row>
    <row r="25" spans="1:41" ht="15" customHeight="1" x14ac:dyDescent="0.2">
      <c r="A25" s="9" t="s">
        <v>153</v>
      </c>
      <c r="B25" s="22">
        <f t="shared" ref="B25:AK25" si="6">B18+B19+B20</f>
        <v>64.87</v>
      </c>
      <c r="C25" s="22">
        <f t="shared" si="6"/>
        <v>98.926749999999998</v>
      </c>
      <c r="D25" s="22">
        <f t="shared" si="6"/>
        <v>169.0804115</v>
      </c>
      <c r="E25" s="22">
        <f t="shared" si="6"/>
        <v>909.16137725877331</v>
      </c>
      <c r="F25" s="22">
        <f t="shared" si="6"/>
        <v>2267.7407205721779</v>
      </c>
      <c r="G25" s="22">
        <f t="shared" si="6"/>
        <v>3892.0900498637525</v>
      </c>
      <c r="H25" s="22">
        <f t="shared" si="6"/>
        <v>5427.7108377838367</v>
      </c>
      <c r="I25" s="22">
        <f t="shared" si="6"/>
        <v>6884.4402032031539</v>
      </c>
      <c r="J25" s="22">
        <f t="shared" si="6"/>
        <v>8271.4726522064466</v>
      </c>
      <c r="K25" s="22">
        <f t="shared" si="6"/>
        <v>9597.4630587963766</v>
      </c>
      <c r="L25" s="22">
        <f t="shared" si="6"/>
        <v>10870.62422785833</v>
      </c>
      <c r="M25" s="22">
        <f t="shared" si="6"/>
        <v>12098.820337815339</v>
      </c>
      <c r="N25" s="22">
        <f t="shared" si="6"/>
        <v>16855.534439249095</v>
      </c>
      <c r="O25" s="22">
        <f t="shared" si="6"/>
        <v>21318.539249550216</v>
      </c>
      <c r="P25" s="22">
        <f t="shared" si="6"/>
        <v>25780.66213658515</v>
      </c>
      <c r="Q25" s="22">
        <f t="shared" si="6"/>
        <v>30124.430926400011</v>
      </c>
      <c r="R25" s="22">
        <f t="shared" si="6"/>
        <v>34364.084235049384</v>
      </c>
      <c r="S25" s="22">
        <f t="shared" si="6"/>
        <v>38513.638492188824</v>
      </c>
      <c r="T25" s="22">
        <f t="shared" si="6"/>
        <v>42587.042797604634</v>
      </c>
      <c r="U25" s="22">
        <f t="shared" si="6"/>
        <v>46598.336324642893</v>
      </c>
      <c r="V25" s="22">
        <f t="shared" si="6"/>
        <v>50561.810468195828</v>
      </c>
      <c r="W25" s="22">
        <f t="shared" si="6"/>
        <v>54492.178029107425</v>
      </c>
      <c r="X25" s="22">
        <f t="shared" si="6"/>
        <v>58404.751855303912</v>
      </c>
      <c r="Y25" s="22">
        <f t="shared" si="6"/>
        <v>62306.503471060241</v>
      </c>
      <c r="Z25" s="22">
        <f t="shared" si="6"/>
        <v>69469.606102132064</v>
      </c>
      <c r="AA25" s="22">
        <f t="shared" si="6"/>
        <v>78494.653645704093</v>
      </c>
      <c r="AB25" s="22">
        <f t="shared" si="6"/>
        <v>87438.219525854453</v>
      </c>
      <c r="AC25" s="22">
        <f t="shared" si="6"/>
        <v>96323.758661692947</v>
      </c>
      <c r="AD25" s="22">
        <f t="shared" si="6"/>
        <v>105176.88551935861</v>
      </c>
      <c r="AE25" s="22">
        <f t="shared" si="6"/>
        <v>114025.67300006162</v>
      </c>
      <c r="AF25" s="22">
        <f t="shared" si="6"/>
        <v>122900.990221834</v>
      </c>
      <c r="AG25" s="22">
        <f t="shared" si="6"/>
        <v>131836.88421240824</v>
      </c>
      <c r="AH25" s="22">
        <f t="shared" si="6"/>
        <v>140871.01118638855</v>
      </c>
      <c r="AI25" s="22">
        <f t="shared" si="6"/>
        <v>150045.12382063142</v>
      </c>
      <c r="AJ25" s="22">
        <f t="shared" si="6"/>
        <v>159405.62177856959</v>
      </c>
      <c r="AK25" s="22">
        <f t="shared" si="6"/>
        <v>169004.17367960958</v>
      </c>
      <c r="AL25" s="22">
        <f>M25</f>
        <v>12098.820337815339</v>
      </c>
      <c r="AM25" s="22">
        <f>Y25</f>
        <v>62306.503471060241</v>
      </c>
      <c r="AN25" s="22">
        <f>AK25</f>
        <v>169004.17367960958</v>
      </c>
      <c r="AO25" t="s">
        <v>154</v>
      </c>
    </row>
    <row r="26" spans="1:41" s="37" customFormat="1" ht="15" customHeight="1" x14ac:dyDescent="0.2">
      <c r="A26" s="38" t="s">
        <v>155</v>
      </c>
      <c r="B26" s="34">
        <f t="shared" ref="B26:AK26" si="7">B25*12</f>
        <v>778.44</v>
      </c>
      <c r="C26" s="34">
        <f t="shared" si="7"/>
        <v>1187.1210000000001</v>
      </c>
      <c r="D26" s="34">
        <f t="shared" si="7"/>
        <v>2028.9649380000001</v>
      </c>
      <c r="E26" s="34">
        <f t="shared" si="7"/>
        <v>10909.936527105279</v>
      </c>
      <c r="F26" s="34">
        <f t="shared" si="7"/>
        <v>27212.888646866137</v>
      </c>
      <c r="G26" s="34">
        <f t="shared" si="7"/>
        <v>46705.080598365028</v>
      </c>
      <c r="H26" s="34">
        <f t="shared" si="7"/>
        <v>65132.530053406037</v>
      </c>
      <c r="I26" s="34">
        <f t="shared" si="7"/>
        <v>82613.282438437847</v>
      </c>
      <c r="J26" s="34">
        <f t="shared" si="7"/>
        <v>99257.671826477366</v>
      </c>
      <c r="K26" s="34">
        <f t="shared" si="7"/>
        <v>115169.55670555652</v>
      </c>
      <c r="L26" s="34">
        <f t="shared" si="7"/>
        <v>130447.49073429996</v>
      </c>
      <c r="M26" s="34">
        <f t="shared" si="7"/>
        <v>145185.84405378407</v>
      </c>
      <c r="N26" s="34">
        <f t="shared" si="7"/>
        <v>202266.41327098914</v>
      </c>
      <c r="O26" s="34">
        <f t="shared" si="7"/>
        <v>255822.4709946026</v>
      </c>
      <c r="P26" s="34">
        <f t="shared" si="7"/>
        <v>309367.94563902181</v>
      </c>
      <c r="Q26" s="34">
        <f t="shared" si="7"/>
        <v>361493.17111680016</v>
      </c>
      <c r="R26" s="34">
        <f t="shared" si="7"/>
        <v>412369.01082059264</v>
      </c>
      <c r="S26" s="34">
        <f t="shared" si="7"/>
        <v>462163.66190626589</v>
      </c>
      <c r="T26" s="34">
        <f t="shared" si="7"/>
        <v>511044.51357125561</v>
      </c>
      <c r="U26" s="34">
        <f t="shared" si="7"/>
        <v>559180.03589571477</v>
      </c>
      <c r="V26" s="34">
        <f t="shared" si="7"/>
        <v>606741.72561834997</v>
      </c>
      <c r="W26" s="34">
        <f t="shared" si="7"/>
        <v>653906.1363492891</v>
      </c>
      <c r="X26" s="34">
        <f t="shared" si="7"/>
        <v>700857.02226364694</v>
      </c>
      <c r="Y26" s="34">
        <f t="shared" si="7"/>
        <v>747678.04165272287</v>
      </c>
      <c r="Z26" s="34">
        <f t="shared" si="7"/>
        <v>833635.27322558477</v>
      </c>
      <c r="AA26" s="34">
        <f t="shared" si="7"/>
        <v>941935.84374844912</v>
      </c>
      <c r="AB26" s="34">
        <f t="shared" si="7"/>
        <v>1049258.6343102534</v>
      </c>
      <c r="AC26" s="34">
        <f t="shared" si="7"/>
        <v>1155885.1039403153</v>
      </c>
      <c r="AD26" s="34">
        <f t="shared" si="7"/>
        <v>1262122.6262323032</v>
      </c>
      <c r="AE26" s="34">
        <f t="shared" si="7"/>
        <v>1368308.0760007394</v>
      </c>
      <c r="AF26" s="34">
        <f t="shared" si="7"/>
        <v>1474811.8826620081</v>
      </c>
      <c r="AG26" s="34">
        <f t="shared" si="7"/>
        <v>1582042.610548899</v>
      </c>
      <c r="AH26" s="34">
        <f t="shared" si="7"/>
        <v>1690452.1342366626</v>
      </c>
      <c r="AI26" s="34">
        <f t="shared" si="7"/>
        <v>1800541.485847577</v>
      </c>
      <c r="AJ26" s="34">
        <f t="shared" si="7"/>
        <v>1912867.4613428351</v>
      </c>
      <c r="AK26" s="34">
        <f t="shared" si="7"/>
        <v>2028050.0841553151</v>
      </c>
      <c r="AL26" s="34">
        <f>M26</f>
        <v>145185.84405378407</v>
      </c>
      <c r="AM26" s="34">
        <f>Y26</f>
        <v>747678.04165272287</v>
      </c>
      <c r="AN26" s="34">
        <f>AK26</f>
        <v>2028050.0841553151</v>
      </c>
    </row>
    <row r="28" spans="1:41" ht="15" customHeight="1" x14ac:dyDescent="0.2">
      <c r="A28" s="6" t="s">
        <v>156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ht="15" customHeight="1" x14ac:dyDescent="0.2">
      <c r="A29" s="9" t="s">
        <v>157</v>
      </c>
      <c r="B29" s="22">
        <f>SUM(B18:B18)+SUM(B19:B19)</f>
        <v>64.87</v>
      </c>
      <c r="C29" s="22">
        <f>SUM(B18:C18)+SUM(B19:C19)</f>
        <v>163.79675</v>
      </c>
      <c r="D29" s="22">
        <f>SUM(B18:D18)+SUM(B19:D19)</f>
        <v>332.8771615</v>
      </c>
      <c r="E29" s="22">
        <f>SUM(B18:E18)+SUM(B19:E19)</f>
        <v>1242.0385387587733</v>
      </c>
      <c r="F29" s="22">
        <f>SUM(B18:F18)+SUM(B19:F19)</f>
        <v>3509.7792593309514</v>
      </c>
      <c r="G29" s="22">
        <f>SUM(B18:G18)+SUM(B19:G19)</f>
        <v>7042.769309194704</v>
      </c>
      <c r="H29" s="22">
        <f>SUM(B18:H18)+SUM(B19:H19)</f>
        <v>11758.169955501491</v>
      </c>
      <c r="I29" s="22">
        <f>SUM(B18:I18)+SUM(B19:I19)</f>
        <v>17582.882982089042</v>
      </c>
      <c r="J29" s="22">
        <f>SUM(B18:J18)+SUM(B19:J19)</f>
        <v>24452.90966112414</v>
      </c>
      <c r="K29" s="22">
        <f>SUM(B18:K18)+SUM(B19:K19)</f>
        <v>32312.812679462171</v>
      </c>
      <c r="L29" s="22">
        <f>SUM(B18:L18)+SUM(B19:L19)</f>
        <v>41115.275602410555</v>
      </c>
      <c r="M29" s="22">
        <f t="shared" ref="M29:AK29" si="8">SUM(B18:M18)+SUM(B19:M19)</f>
        <v>50820.755755005433</v>
      </c>
      <c r="N29" s="22">
        <f t="shared" si="8"/>
        <v>62729.591786666555</v>
      </c>
      <c r="O29" s="22">
        <f t="shared" si="8"/>
        <v>77799.695593367287</v>
      </c>
      <c r="P29" s="22">
        <f t="shared" si="8"/>
        <v>96014.88030399644</v>
      </c>
      <c r="Q29" s="22">
        <f t="shared" si="8"/>
        <v>116607.31545960861</v>
      </c>
      <c r="R29" s="22">
        <f t="shared" si="8"/>
        <v>138874.50271618192</v>
      </c>
      <c r="S29" s="22">
        <f t="shared" si="8"/>
        <v>162839.45862463879</v>
      </c>
      <c r="T29" s="22">
        <f t="shared" si="8"/>
        <v>188528.33303954036</v>
      </c>
      <c r="U29" s="22">
        <f t="shared" si="8"/>
        <v>215971.25527969273</v>
      </c>
      <c r="V29" s="22">
        <f t="shared" si="8"/>
        <v>245203.23261331124</v>
      </c>
      <c r="W29" s="22">
        <f t="shared" si="8"/>
        <v>276265.11488700693</v>
      </c>
      <c r="X29" s="22">
        <f t="shared" si="8"/>
        <v>309204.64017404179</v>
      </c>
      <c r="Y29" s="22">
        <f t="shared" si="8"/>
        <v>344068.44555126363</v>
      </c>
      <c r="Z29" s="22">
        <f t="shared" si="8"/>
        <v>381422.54613608494</v>
      </c>
      <c r="AA29" s="22">
        <f t="shared" si="8"/>
        <v>422241.22713926632</v>
      </c>
      <c r="AB29" s="22">
        <f t="shared" si="8"/>
        <v>466461.88894010655</v>
      </c>
      <c r="AC29" s="22">
        <f t="shared" si="8"/>
        <v>514162.56378051126</v>
      </c>
      <c r="AD29" s="22">
        <f t="shared" si="8"/>
        <v>565432.36936426093</v>
      </c>
      <c r="AE29" s="22">
        <f t="shared" si="8"/>
        <v>620374.19424130709</v>
      </c>
      <c r="AF29" s="22">
        <f t="shared" si="8"/>
        <v>679107.56603917247</v>
      </c>
      <c r="AG29" s="22">
        <f t="shared" si="8"/>
        <v>741771.74390696292</v>
      </c>
      <c r="AH29" s="22">
        <f t="shared" si="8"/>
        <v>808529.08001298888</v>
      </c>
      <c r="AI29" s="22">
        <f t="shared" si="8"/>
        <v>879568.69905902422</v>
      </c>
      <c r="AJ29" s="22">
        <f t="shared" si="8"/>
        <v>955110.54960464127</v>
      </c>
      <c r="AK29" s="22">
        <f t="shared" si="8"/>
        <v>1035419.0186597595</v>
      </c>
    </row>
    <row r="30" spans="1:41" ht="15" customHeight="1" x14ac:dyDescent="0.2">
      <c r="A30" s="9" t="s">
        <v>158</v>
      </c>
      <c r="B30" s="22">
        <f>IF(B29&lt;Assumptions!D43,(B18+B19)*Assumptions!D41,(B18+B19)*Assumptions!D42)</f>
        <v>9.730500000000001</v>
      </c>
      <c r="C30" s="22">
        <f>IF(C29&lt;Assumptions!D43,(C18+C19)*Assumptions!D41,(C18+C19)*Assumptions!D42)</f>
        <v>14.839012499999999</v>
      </c>
      <c r="D30" s="22">
        <f>IF(D29&lt;Assumptions!D43,(D18+D19)*Assumptions!D41,(D18+D19)*Assumptions!D42)</f>
        <v>25.362061725</v>
      </c>
      <c r="E30" s="22">
        <f>IF(E29&lt;Assumptions!D43,(E18+E19)*Assumptions!D41,(E18+E19)*Assumptions!D42)</f>
        <v>136.37420658881598</v>
      </c>
      <c r="F30" s="22">
        <f>IF(F29&lt;Assumptions!D43,(F18+F19)*Assumptions!D41,(F18+F19)*Assumptions!D42)</f>
        <v>340.1611080858267</v>
      </c>
      <c r="G30" s="22">
        <f>IF(G29&lt;Assumptions!D43,(G18+G19)*Assumptions!D41,(G18+G19)*Assumptions!D42)</f>
        <v>529.94850747956286</v>
      </c>
      <c r="H30" s="22">
        <f>IF(H29&lt;Assumptions!D43,(H18+H19)*Assumptions!D41,(H18+H19)*Assumptions!D42)</f>
        <v>707.31009694601801</v>
      </c>
      <c r="I30" s="22">
        <f>IF(I29&lt;Assumptions!D43,(I18+I19)*Assumptions!D41,(I18+I19)*Assumptions!D42)</f>
        <v>873.70695398813268</v>
      </c>
      <c r="J30" s="22">
        <f>IF(J29&lt;Assumptions!D43,(J18+J19)*Assumptions!D41,(J18+J19)*Assumptions!D42)</f>
        <v>1030.504001855265</v>
      </c>
      <c r="K30" s="22">
        <f>IF(K29&lt;Assumptions!D43,(K18+K19)*Assumptions!D41,(K18+K19)*Assumptions!D42)</f>
        <v>1178.9854527507046</v>
      </c>
      <c r="L30" s="22">
        <f>IF(L29&lt;Assumptions!D43,(L18+L19)*Assumptions!D41,(L18+L19)*Assumptions!D42)</f>
        <v>1320.3694384422572</v>
      </c>
      <c r="M30" s="22">
        <f>IF(M29&lt;Assumptions!D43,(M18+M19)*Assumptions!D41,(M18+M19)*Assumptions!D42)</f>
        <v>1455.8220228892312</v>
      </c>
      <c r="N30" s="22">
        <f>IF(N29&lt;Assumptions!D43,(N18+N19)*Assumptions!D41,(N18+N19)*Assumptions!D42)</f>
        <v>1796.0559047491683</v>
      </c>
      <c r="O30" s="22">
        <f>IF(O29&lt;Assumptions!D43,(O18+O19)*Assumptions!D41,(O18+O19)*Assumptions!D42)</f>
        <v>2275.35458350511</v>
      </c>
      <c r="P30" s="22">
        <f>IF(P29&lt;Assumptions!D43,(P18+P19)*Assumptions!D41,(P18+P19)*Assumptions!D42)</f>
        <v>2757.6397683193727</v>
      </c>
      <c r="Q30" s="22">
        <f>IF(Q29&lt;Assumptions!D43,(Q18+Q19)*Assumptions!D41,(Q18+Q19)*Assumptions!D42)</f>
        <v>3225.2394799306435</v>
      </c>
      <c r="R30" s="22">
        <f>IF(R29&lt;Assumptions!D43,(R18+R19)*Assumptions!D41,(R18+R19)*Assumptions!D42)</f>
        <v>3680.2391965718234</v>
      </c>
      <c r="S30" s="22">
        <f>IF(S29&lt;Assumptions!D43,(S18+S19)*Assumptions!D41,(S18+S19)*Assumptions!D42)</f>
        <v>4124.6918937480905</v>
      </c>
      <c r="T30" s="22">
        <f>IF(T29&lt;Assumptions!D43,(T18+T19)*Assumptions!D41,(T18+T19)*Assumptions!D42)</f>
        <v>4560.6412591812532</v>
      </c>
      <c r="U30" s="22">
        <f>IF(U29&lt;Assumptions!D43,(U18+U19)*Assumptions!D41,(U18+U19)*Assumptions!D42)</f>
        <v>4990.1452900109889</v>
      </c>
      <c r="V30" s="22">
        <f>IF(V29&lt;Assumptions!D43,(V18+V19)*Assumptions!D41,(V18+V19)*Assumptions!D42)</f>
        <v>5415.3006018980386</v>
      </c>
      <c r="W30" s="22">
        <f>IF(W29&lt;Assumptions!D43,(W18+W19)*Assumptions!D41,(W18+W19)*Assumptions!D42)</f>
        <v>5838.267793805062</v>
      </c>
      <c r="X30" s="22">
        <f>IF(X29&lt;Assumptions!D43,(X18+X19)*Assumptions!D41,(X18+X19)*Assumptions!D42)</f>
        <v>6261.2982314974824</v>
      </c>
      <c r="Y30" s="22">
        <f>IF(Y29&lt;Assumptions!D43,(Y18+Y19)*Assumptions!D41,(Y18+Y19)*Assumptions!D42)</f>
        <v>6685.3928294725092</v>
      </c>
      <c r="Z30" s="22">
        <f>IF(Z29&lt;Assumptions!D43,(Z18+Z19)*Assumptions!D41,(Z18+Z19)*Assumptions!D42)</f>
        <v>7399.1709924723618</v>
      </c>
      <c r="AA30" s="22">
        <f>IF(AA29&lt;Assumptions!D43,(AA18+AA19)*Assumptions!D41,(AA18+AA19)*Assumptions!D42)</f>
        <v>8398.1567339823232</v>
      </c>
      <c r="AB30" s="22">
        <f>IF(AB29&lt;Assumptions!D43,(AB18+AB19)*Assumptions!D41,(AB18+AB19)*Assumptions!D42)</f>
        <v>9390.7390384454029</v>
      </c>
      <c r="AC30" s="22">
        <f>IF(AC29&lt;Assumptions!D43,(AC18+AC19)*Assumptions!D41,(AC18+AC19)*Assumptions!D42)</f>
        <v>10380.340705991348</v>
      </c>
      <c r="AD30" s="22">
        <f>IF(AD29&lt;Assumptions!D43,(AD18+AD19)*Assumptions!D41,(AD18+AD19)*Assumptions!D42)</f>
        <v>11370.710034134265</v>
      </c>
      <c r="AE30" s="22">
        <f>IF(AE29&lt;Assumptions!D43,(AE18+AE19)*Assumptions!D41,(AE18+AE19)*Assumptions!D42)</f>
        <v>12365.965625305022</v>
      </c>
      <c r="AF30" s="22">
        <f>IF(AF29&lt;Assumptions!D43,(AF18+AF19)*Assumptions!D41,(AF18+AF19)*Assumptions!D42)</f>
        <v>13370.647028861058</v>
      </c>
      <c r="AG30" s="22">
        <f>IF(AG29&lt;Assumptions!D43,(AG18+AG19)*Assumptions!D41,(AG18+AG19)*Assumptions!D42)</f>
        <v>14389.771970179556</v>
      </c>
      <c r="AH30" s="22">
        <f>IF(AH29&lt;Assumptions!D43,(AH18+AH19)*Assumptions!D41,(AH18+AH19)*Assumptions!D42)</f>
        <v>15428.901017801923</v>
      </c>
      <c r="AI30" s="22">
        <f>IF(AI29&lt;Assumptions!D43,(AI18+AI19)*Assumptions!D41,(AI18+AI19)*Assumptions!D42)</f>
        <v>16494.210650710349</v>
      </c>
      <c r="AJ30" s="22">
        <f>IF(AJ29&lt;Assumptions!D43,(AJ18+AJ19)*Assumptions!D41,(AJ18+AJ19)*Assumptions!D42)</f>
        <v>17592.575813340067</v>
      </c>
      <c r="AK30" s="22">
        <f>IF(AK29&lt;Assumptions!D43,(AK18+AK19)*Assumptions!D41,(AK18+AK19)*Assumptions!D42)</f>
        <v>18731.663187740232</v>
      </c>
      <c r="AL30" s="22">
        <f t="shared" ref="AL30:AL42" si="9">SUM(B30:M30)</f>
        <v>7623.1133632508145</v>
      </c>
      <c r="AM30" s="22">
        <f t="shared" ref="AM30:AM42" si="10">SUM(N30:Y30)</f>
        <v>51610.266832689544</v>
      </c>
      <c r="AN30" s="22">
        <f t="shared" ref="AN30:AN42" si="11">SUM(Z30:AK30)</f>
        <v>155312.85279896393</v>
      </c>
      <c r="AO30" t="s">
        <v>159</v>
      </c>
    </row>
    <row r="31" spans="1:41" ht="15" customHeight="1" x14ac:dyDescent="0.2">
      <c r="A31" s="9" t="s">
        <v>160</v>
      </c>
      <c r="B31" s="22">
        <f>B20*Assumptions!D44</f>
        <v>0</v>
      </c>
      <c r="C31" s="22">
        <f>C20*Assumptions!D44</f>
        <v>0</v>
      </c>
      <c r="D31" s="22">
        <f>D20*Assumptions!D44</f>
        <v>0</v>
      </c>
      <c r="E31" s="22">
        <f>E20*Assumptions!D44</f>
        <v>0</v>
      </c>
      <c r="F31" s="22">
        <f>F20*Assumptions!D44</f>
        <v>0</v>
      </c>
      <c r="G31" s="22">
        <f>G20*Assumptions!D44</f>
        <v>5.0274000000000001</v>
      </c>
      <c r="H31" s="22">
        <f>H20*Assumptions!D44</f>
        <v>9.9723426806786986</v>
      </c>
      <c r="I31" s="22">
        <f>I20*Assumptions!D44</f>
        <v>14.836180472618436</v>
      </c>
      <c r="J31" s="22">
        <f>J20*Assumptions!D44</f>
        <v>19.620243624398849</v>
      </c>
      <c r="K31" s="22">
        <f>K20*Assumptions!D44</f>
        <v>24.325840566416836</v>
      </c>
      <c r="L31" s="22">
        <f>L20*Assumptions!D44</f>
        <v>28.954258268739288</v>
      </c>
      <c r="M31" s="22">
        <f>M20*Assumptions!D44</f>
        <v>33.506762593086492</v>
      </c>
      <c r="N31" s="22">
        <f>N20*Assumptions!D44</f>
        <v>68.345597706231615</v>
      </c>
      <c r="O31" s="22">
        <f>O20*Assumptions!D44</f>
        <v>86.093121699892762</v>
      </c>
      <c r="P31" s="22">
        <f>P20*Assumptions!D44</f>
        <v>103.54955820238396</v>
      </c>
      <c r="Q31" s="22">
        <f>Q20*Assumptions!D44</f>
        <v>120.71968150940674</v>
      </c>
      <c r="R31" s="22">
        <f>R20*Assumptions!D44</f>
        <v>137.60818761065451</v>
      </c>
      <c r="S31" s="22">
        <f>S20*Assumptions!D44</f>
        <v>154.21969547415509</v>
      </c>
      <c r="T31" s="22">
        <f>T20*Assumptions!D44</f>
        <v>170.55874830954787</v>
      </c>
      <c r="U31" s="22">
        <f>U20*Assumptions!D44</f>
        <v>186.62981481064151</v>
      </c>
      <c r="V31" s="22">
        <f>V20*Assumptions!D44</f>
        <v>202.43729037759135</v>
      </c>
      <c r="W31" s="22">
        <f>W20*Assumptions!D44</f>
        <v>217.98549831903145</v>
      </c>
      <c r="X31" s="22">
        <f>X20*Assumptions!D44</f>
        <v>233.27869103448967</v>
      </c>
      <c r="Y31" s="22">
        <f>Y20*Assumptions!D44</f>
        <v>248.3210511774092</v>
      </c>
      <c r="Z31" s="22">
        <f>Z20*Assumptions!D44</f>
        <v>281.98519279909505</v>
      </c>
      <c r="AA31" s="22">
        <f>AA20*Assumptions!D44</f>
        <v>315.09718920150704</v>
      </c>
      <c r="AB31" s="22">
        <f>AB20*Assumptions!D44</f>
        <v>347.66609644039136</v>
      </c>
      <c r="AC31" s="22">
        <f>AC20*Assumptions!D44</f>
        <v>379.70082203784216</v>
      </c>
      <c r="AD31" s="22">
        <f>AD20*Assumptions!D44</f>
        <v>411.21012741848921</v>
      </c>
      <c r="AE31" s="22">
        <f>AE20*Assumptions!D44</f>
        <v>442.20263030572727</v>
      </c>
      <c r="AF31" s="22">
        <f>AF20*Assumptions!D44</f>
        <v>472.68680707864394</v>
      </c>
      <c r="AG31" s="22">
        <f>AG20*Assumptions!D44</f>
        <v>502.67099509029015</v>
      </c>
      <c r="AH31" s="22">
        <f>AH20*Assumptions!D44</f>
        <v>532.16339494792692</v>
      </c>
      <c r="AI31" s="22">
        <f>AI20*Assumptions!D44</f>
        <v>561.17207275587361</v>
      </c>
      <c r="AJ31" s="22">
        <f>AJ20*Assumptions!D44</f>
        <v>589.70496232156802</v>
      </c>
      <c r="AK31" s="22">
        <f>AK20*Assumptions!D44</f>
        <v>617.76986732544572</v>
      </c>
      <c r="AL31" s="22">
        <f t="shared" si="9"/>
        <v>136.24302820593863</v>
      </c>
      <c r="AM31" s="22">
        <f t="shared" si="10"/>
        <v>1929.7469362314357</v>
      </c>
      <c r="AN31" s="22">
        <f t="shared" si="11"/>
        <v>5454.0301577228001</v>
      </c>
    </row>
    <row r="32" spans="1:41" ht="15" customHeight="1" x14ac:dyDescent="0.2">
      <c r="A32" s="9" t="s">
        <v>161</v>
      </c>
      <c r="B32" s="22">
        <f>0</f>
        <v>0</v>
      </c>
      <c r="C32" s="22">
        <f>0</f>
        <v>0</v>
      </c>
      <c r="D32" s="22">
        <f>0</f>
        <v>0</v>
      </c>
      <c r="E32" s="22">
        <f>0</f>
        <v>0</v>
      </c>
      <c r="F32" s="22">
        <f>0</f>
        <v>0</v>
      </c>
      <c r="G32" s="22">
        <f>MIN(Assumptions!D48,Assumptions!D46+(G15/500)*Assumptions!D47)</f>
        <v>492.03895972145682</v>
      </c>
      <c r="H32" s="22">
        <f>MIN(Assumptions!D48,Assumptions!D46+(H15/500)*Assumptions!D47)</f>
        <v>523.80743990987924</v>
      </c>
      <c r="I32" s="22">
        <f>MIN(Assumptions!D48,Assumptions!D46+(I15/500)*Assumptions!D47)</f>
        <v>554.05995613007531</v>
      </c>
      <c r="J32" s="22">
        <f>MIN(Assumptions!D48,Assumptions!D46+(J15/500)*Assumptions!D47)</f>
        <v>582.97535216137965</v>
      </c>
      <c r="K32" s="22">
        <f>MIN(Assumptions!D48,Assumptions!D46+(K15/500)*Assumptions!D47)</f>
        <v>610.72265083383206</v>
      </c>
      <c r="L32" s="22">
        <f>MIN(Assumptions!D48,Assumptions!D46+(L15/500)*Assumptions!D47)</f>
        <v>637.46296168702861</v>
      </c>
      <c r="M32" s="22">
        <f>MIN(Assumptions!D48,Assumptions!D46+(M15/500)*Assumptions!D47)</f>
        <v>663.35131877091908</v>
      </c>
      <c r="N32" s="22">
        <f>MIN(Assumptions!D48,Assumptions!D46+(N15/500)*Assumptions!D47)</f>
        <v>749.48534986844243</v>
      </c>
      <c r="O32" s="22">
        <f>MIN(Assumptions!D48,Assumptions!D46+(O15/500)*Assumptions!D47)</f>
        <v>831.98392388410434</v>
      </c>
      <c r="P32" s="22">
        <f>MIN(Assumptions!D48,Assumptions!D46+(P15/500)*Assumptions!D47)</f>
        <v>911.2360202797538</v>
      </c>
      <c r="Q32" s="22">
        <f>MIN(Assumptions!D48,Assumptions!D46+(Q15/500)*Assumptions!D47)</f>
        <v>987.61122583783117</v>
      </c>
      <c r="R32" s="22">
        <f>MIN(Assumptions!D48,Assumptions!D46+(R15/500)*Assumptions!D47)</f>
        <v>1061.4636093743384</v>
      </c>
      <c r="S32" s="22">
        <f>MIN(Assumptions!D48,Assumptions!D46+(S15/500)*Assumptions!D47)</f>
        <v>1133.1354866145357</v>
      </c>
      <c r="T32" s="22">
        <f>MIN(Assumptions!D48,Assumptions!D46+(T15/500)*Assumptions!D47)</f>
        <v>1202.9611237031654</v>
      </c>
      <c r="U32" s="22">
        <f>MIN(Assumptions!D48,Assumptions!D46+(U15/500)*Assumptions!D47)</f>
        <v>1271.2704276817783</v>
      </c>
      <c r="V32" s="22">
        <f>MIN(Assumptions!D48,Assumptions!D46+(V15/500)*Assumptions!D47)</f>
        <v>1338.392672816844</v>
      </c>
      <c r="W32" s="22">
        <f>MIN(Assumptions!D48,Assumptions!D46+(W15/500)*Assumptions!D47)</f>
        <v>1404.6603129173307</v>
      </c>
      <c r="X32" s="22">
        <f>MIN(Assumptions!D48,Assumptions!D46+(X15/500)*Assumptions!D47)</f>
        <v>1470.4129317635709</v>
      </c>
      <c r="Y32" s="22">
        <f>MIN(Assumptions!D48,Assumptions!D46+(Y15/500)*Assumptions!D47)</f>
        <v>1535.6353723392992</v>
      </c>
      <c r="Z32" s="22">
        <f>MIN(Assumptions!D48,Assumptions!D46+(Z15/500)*Assumptions!D47)</f>
        <v>1700.0118699505904</v>
      </c>
      <c r="AA32" s="22">
        <f>MIN(Assumptions!D48,Assumptions!D46+(AA15/500)*Assumptions!D47)</f>
        <v>1861.1038571756903</v>
      </c>
      <c r="AB32" s="22">
        <f>MIN(Assumptions!D48,Assumptions!D46+(AB15/500)*Assumptions!D47)</f>
        <v>2019.4710298396667</v>
      </c>
      <c r="AC32" s="22">
        <f>MIN(Assumptions!D48,Assumptions!D46+(AC15/500)*Assumptions!D47)</f>
        <v>2175.6997456203298</v>
      </c>
      <c r="AD32" s="22">
        <f>MIN(Assumptions!D48,Assumptions!D46+(AD15/500)*Assumptions!D47)</f>
        <v>2330.4088395199033</v>
      </c>
      <c r="AE32" s="22">
        <f>MIN(Assumptions!D48,Assumptions!D46+(AE15/500)*Assumptions!D47)</f>
        <v>2484.2560697437184</v>
      </c>
      <c r="AF32" s="22">
        <f>MIN(Assumptions!D48,Assumptions!D46+(AF15/500)*Assumptions!D47)</f>
        <v>2637.9452828400704</v>
      </c>
      <c r="AG32" s="22">
        <f>MIN(Assumptions!D48,Assumptions!D46+(AG15/500)*Assumptions!D47)</f>
        <v>2792.2343981209951</v>
      </c>
      <c r="AH32" s="22">
        <f>MIN(Assumptions!D48,Assumptions!D46+(AH15/500)*Assumptions!D47)</f>
        <v>2947.9443240226187</v>
      </c>
      <c r="AI32" s="22">
        <f>MIN(Assumptions!D48,Assumptions!D46+(AI15/500)*Assumptions!D47)</f>
        <v>3105.9689333662213</v>
      </c>
      <c r="AJ32" s="22">
        <f>MIN(Assumptions!D48,Assumptions!D46+(AJ15/500)*Assumptions!D47)</f>
        <v>3267.286240662243</v>
      </c>
      <c r="AK32" s="22">
        <f>MIN(Assumptions!D48,Assumptions!D46+(AK15/500)*Assumptions!D47)</f>
        <v>3432.970942902401</v>
      </c>
      <c r="AL32" s="22">
        <f t="shared" si="9"/>
        <v>4064.4186392145707</v>
      </c>
      <c r="AM32" s="22">
        <f t="shared" si="10"/>
        <v>13898.248457080994</v>
      </c>
      <c r="AN32" s="22">
        <f t="shared" si="11"/>
        <v>30755.301533764447</v>
      </c>
    </row>
    <row r="33" spans="1:41" ht="15" customHeight="1" x14ac:dyDescent="0.2">
      <c r="A33" s="9" t="s">
        <v>162</v>
      </c>
      <c r="B33" s="22">
        <f>80</f>
        <v>80</v>
      </c>
      <c r="C33" s="22">
        <f>80</f>
        <v>80</v>
      </c>
      <c r="D33" s="22">
        <f>MIN(Assumptions!D71,Assumptions!D69+(D15/400)*Assumptions!D70)</f>
        <v>615.41913750000003</v>
      </c>
      <c r="E33" s="22">
        <f>MIN(Assumptions!D71,Assumptions!D69+(E15/400)*Assumptions!D70)</f>
        <v>721.22836409199999</v>
      </c>
      <c r="F33" s="22">
        <f>MIN(Assumptions!D71,Assumptions!D69+(F15/400)*Assumptions!D70)</f>
        <v>819.614429581173</v>
      </c>
      <c r="G33" s="22">
        <f>MIN(Assumptions!D71,Assumptions!D69+(G15/400)*Assumptions!D70)</f>
        <v>945.146098955463</v>
      </c>
      <c r="H33" s="22">
        <f>MIN(Assumptions!D71,Assumptions!D69+(H15/400)*Assumptions!D70)</f>
        <v>1064.277899662047</v>
      </c>
      <c r="I33" s="22">
        <f>MIN(Assumptions!D71,Assumptions!D69+(I15/400)*Assumptions!D70)</f>
        <v>1177.7248354877825</v>
      </c>
      <c r="J33" s="22">
        <f>MIN(Assumptions!D71,Assumptions!D69+(J15/400)*Assumptions!D70)</f>
        <v>1286.1575706051738</v>
      </c>
      <c r="K33" s="22">
        <f>MIN(Assumptions!D71,Assumptions!D69+(K15/400)*Assumptions!D70)</f>
        <v>1390.2099406268703</v>
      </c>
      <c r="L33" s="22">
        <f>MIN(Assumptions!D71,Assumptions!D69+(L15/400)*Assumptions!D70)</f>
        <v>1490.4861063263575</v>
      </c>
      <c r="M33" s="22">
        <f>MIN(Assumptions!D71,Assumptions!D69+(M15/400)*Assumptions!D70)</f>
        <v>1587.5674453909469</v>
      </c>
      <c r="N33" s="22">
        <f>MIN(Assumptions!D71,Assumptions!D69+(N15/400)*Assumptions!D70)</f>
        <v>1910.5700620066591</v>
      </c>
      <c r="O33" s="22">
        <f>MIN(Assumptions!D71,Assumptions!D69+(O15/400)*Assumptions!D70)</f>
        <v>2219.9397145653916</v>
      </c>
      <c r="P33" s="22">
        <f>MIN(Assumptions!D71,Assumptions!D69+(P15/400)*Assumptions!D70)</f>
        <v>2517.1350760490768</v>
      </c>
      <c r="Q33" s="22">
        <f>MIN(Assumptions!D71,Assumptions!D69+(Q15/400)*Assumptions!D70)</f>
        <v>2803.542096891867</v>
      </c>
      <c r="R33" s="22">
        <f>MIN(Assumptions!D71,Assumptions!D69+(R15/400)*Assumptions!D70)</f>
        <v>3080.4885351537691</v>
      </c>
      <c r="S33" s="22">
        <f>MIN(Assumptions!D71,Assumptions!D69+(S15/400)*Assumptions!D70)</f>
        <v>3349.2580748045089</v>
      </c>
      <c r="T33" s="22">
        <f>MIN(Assumptions!D71,Assumptions!D69+(T15/400)*Assumptions!D70)</f>
        <v>3611.1042138868702</v>
      </c>
      <c r="U33" s="22">
        <f>MIN(Assumptions!D71,Assumptions!D69+(U15/400)*Assumptions!D70)</f>
        <v>3867.2641038066686</v>
      </c>
      <c r="V33" s="22">
        <f>MIN(Assumptions!D71,Assumptions!D69+(V15/400)*Assumptions!D70)</f>
        <v>4118.9725230631648</v>
      </c>
      <c r="W33" s="22">
        <f>MIN(Assumptions!D71,Assumptions!D69+(W15/400)*Assumptions!D70)</f>
        <v>4367.476173439989</v>
      </c>
      <c r="X33" s="22">
        <f>MIN(Assumptions!D71,Assumptions!D69+(X15/400)*Assumptions!D70)</f>
        <v>4614.0484941133909</v>
      </c>
      <c r="Y33" s="22">
        <f>MIN(Assumptions!D71,Assumptions!D69+(Y15/400)*Assumptions!D70)</f>
        <v>4858.6326462723728</v>
      </c>
      <c r="Z33" s="22">
        <f>MIN(Assumptions!D71,Assumptions!D69+(Z15/400)*Assumptions!D70)</f>
        <v>5475.0445123147138</v>
      </c>
      <c r="AA33" s="22">
        <f>MIN(Assumptions!D71,Assumptions!D69+(AA15/400)*Assumptions!D70)</f>
        <v>6079.1394644088396</v>
      </c>
      <c r="AB33" s="22">
        <f>MIN(Assumptions!D71,Assumptions!D69+(AB15/400)*Assumptions!D70)</f>
        <v>6673.0163618987499</v>
      </c>
      <c r="AC33" s="22">
        <f>MIN(Assumptions!D71,Assumptions!D69+(AC15/400)*Assumptions!D70)</f>
        <v>7258.8740460762374</v>
      </c>
      <c r="AD33" s="22">
        <f>MIN(Assumptions!D71,Assumptions!D69+(AD15/400)*Assumptions!D70)</f>
        <v>7839.0331481996373</v>
      </c>
      <c r="AE33" s="22">
        <f>MIN(Assumptions!D71,Assumptions!D69+(AE15/400)*Assumptions!D70)</f>
        <v>8415.9602615389449</v>
      </c>
      <c r="AF33" s="22">
        <f>MIN(Assumptions!D71,Assumptions!D69+(AF15/400)*Assumptions!D70)</f>
        <v>8992.2948106502645</v>
      </c>
      <c r="AG33" s="22">
        <f>MIN(Assumptions!D71,Assumptions!D69+(AG15/400)*Assumptions!D70)</f>
        <v>9570.8789929537324</v>
      </c>
      <c r="AH33" s="22">
        <f>MIN(Assumptions!D71,Assumptions!D69+(AH15/400)*Assumptions!D70)</f>
        <v>10154.791215084821</v>
      </c>
      <c r="AI33" s="22">
        <f>MIN(Assumptions!D71,Assumptions!D69+(AI15/400)*Assumptions!D70)</f>
        <v>10747.383500123331</v>
      </c>
      <c r="AJ33" s="22">
        <f>MIN(Assumptions!D71,Assumptions!D69+(AJ15/400)*Assumptions!D70)</f>
        <v>11352.323402483411</v>
      </c>
      <c r="AK33" s="22">
        <f>MIN(Assumptions!D71,Assumptions!D69+(AK15/400)*Assumptions!D70)</f>
        <v>11973.641035884002</v>
      </c>
      <c r="AL33" s="22">
        <f t="shared" si="9"/>
        <v>11257.831828227814</v>
      </c>
      <c r="AM33" s="22">
        <f t="shared" si="10"/>
        <v>41318.431714053724</v>
      </c>
      <c r="AN33" s="22">
        <f t="shared" si="11"/>
        <v>104532.38075161669</v>
      </c>
    </row>
    <row r="34" spans="1:41" ht="15" customHeight="1" x14ac:dyDescent="0.2">
      <c r="A34" s="9" t="s">
        <v>163</v>
      </c>
      <c r="B34" s="22">
        <v>900</v>
      </c>
      <c r="C34" s="22">
        <v>900</v>
      </c>
      <c r="D34" s="22">
        <v>900</v>
      </c>
      <c r="E34" s="22">
        <v>900</v>
      </c>
      <c r="F34" s="22">
        <v>900</v>
      </c>
      <c r="G34" s="22">
        <v>900</v>
      </c>
      <c r="H34" s="22">
        <v>900</v>
      </c>
      <c r="I34" s="22">
        <v>900</v>
      </c>
      <c r="J34" s="22">
        <v>900</v>
      </c>
      <c r="K34" s="22">
        <v>900</v>
      </c>
      <c r="L34" s="22">
        <v>900</v>
      </c>
      <c r="M34" s="22">
        <v>900</v>
      </c>
      <c r="N34" s="22">
        <f>Assumptions!D55</f>
        <v>6000</v>
      </c>
      <c r="O34" s="22">
        <f>Assumptions!D55</f>
        <v>6000</v>
      </c>
      <c r="P34" s="22">
        <f>Assumptions!D55</f>
        <v>6000</v>
      </c>
      <c r="Q34" s="22">
        <f>Assumptions!D55</f>
        <v>6000</v>
      </c>
      <c r="R34" s="22">
        <f>Assumptions!D55</f>
        <v>6000</v>
      </c>
      <c r="S34" s="22">
        <f>Assumptions!D55</f>
        <v>6000</v>
      </c>
      <c r="T34" s="22">
        <f>Assumptions!D55</f>
        <v>6000</v>
      </c>
      <c r="U34" s="22">
        <f>Assumptions!D55</f>
        <v>6000</v>
      </c>
      <c r="V34" s="22">
        <f>Assumptions!D55</f>
        <v>6000</v>
      </c>
      <c r="W34" s="22">
        <f>Assumptions!D55</f>
        <v>6000</v>
      </c>
      <c r="X34" s="22">
        <f>Assumptions!D55</f>
        <v>6000</v>
      </c>
      <c r="Y34" s="22">
        <f>Assumptions!D55</f>
        <v>6000</v>
      </c>
      <c r="Z34" s="22">
        <f>Assumptions!D55</f>
        <v>6000</v>
      </c>
      <c r="AA34" s="22">
        <f>Assumptions!D55</f>
        <v>6000</v>
      </c>
      <c r="AB34" s="22">
        <f>Assumptions!D55</f>
        <v>6000</v>
      </c>
      <c r="AC34" s="22">
        <f>Assumptions!D55</f>
        <v>6000</v>
      </c>
      <c r="AD34" s="22">
        <f>Assumptions!D55</f>
        <v>6000</v>
      </c>
      <c r="AE34" s="22">
        <f>Assumptions!D55</f>
        <v>6000</v>
      </c>
      <c r="AF34" s="22">
        <f>Assumptions!D55</f>
        <v>6000</v>
      </c>
      <c r="AG34" s="22">
        <f>Assumptions!D55</f>
        <v>6000</v>
      </c>
      <c r="AH34" s="22">
        <f>Assumptions!D55</f>
        <v>6000</v>
      </c>
      <c r="AI34" s="22">
        <f>Assumptions!D55</f>
        <v>6000</v>
      </c>
      <c r="AJ34" s="22">
        <f>Assumptions!D55</f>
        <v>6000</v>
      </c>
      <c r="AK34" s="22">
        <f>Assumptions!D55</f>
        <v>6000</v>
      </c>
      <c r="AL34" s="22">
        <f t="shared" si="9"/>
        <v>10800</v>
      </c>
      <c r="AM34" s="22">
        <f t="shared" si="10"/>
        <v>72000</v>
      </c>
      <c r="AN34" s="22">
        <f t="shared" si="11"/>
        <v>72000</v>
      </c>
    </row>
    <row r="35" spans="1:41" ht="15" customHeight="1" x14ac:dyDescent="0.2">
      <c r="A35" s="9" t="s">
        <v>164</v>
      </c>
      <c r="B35" s="22">
        <f>0</f>
        <v>0</v>
      </c>
      <c r="C35" s="22">
        <f>0</f>
        <v>0</v>
      </c>
      <c r="D35" s="22">
        <f>Assumptions!D56</f>
        <v>6000</v>
      </c>
      <c r="E35" s="22">
        <f>Assumptions!D56</f>
        <v>6000</v>
      </c>
      <c r="F35" s="22">
        <f>Assumptions!D56</f>
        <v>6000</v>
      </c>
      <c r="G35" s="22">
        <f>Assumptions!D56</f>
        <v>6000</v>
      </c>
      <c r="H35" s="22">
        <f>Assumptions!D57</f>
        <v>11000</v>
      </c>
      <c r="I35" s="22">
        <f>Assumptions!D57</f>
        <v>11000</v>
      </c>
      <c r="J35" s="22">
        <f>Assumptions!D57</f>
        <v>11000</v>
      </c>
      <c r="K35" s="22">
        <f>Assumptions!D57</f>
        <v>11000</v>
      </c>
      <c r="L35" s="22">
        <f>Assumptions!D57</f>
        <v>11000</v>
      </c>
      <c r="M35" s="22">
        <f>Assumptions!D57</f>
        <v>11000</v>
      </c>
      <c r="N35" s="22">
        <f>Assumptions!D58</f>
        <v>38000</v>
      </c>
      <c r="O35" s="22">
        <f>Assumptions!D58</f>
        <v>38000</v>
      </c>
      <c r="P35" s="22">
        <f>Assumptions!D58</f>
        <v>38000</v>
      </c>
      <c r="Q35" s="22">
        <f>Assumptions!D58</f>
        <v>38000</v>
      </c>
      <c r="R35" s="22">
        <f>Assumptions!D58</f>
        <v>38000</v>
      </c>
      <c r="S35" s="22">
        <f>Assumptions!D58</f>
        <v>38000</v>
      </c>
      <c r="T35" s="22">
        <f>Assumptions!D58</f>
        <v>38000</v>
      </c>
      <c r="U35" s="22">
        <f>Assumptions!D58</f>
        <v>38000</v>
      </c>
      <c r="V35" s="22">
        <f>Assumptions!D58</f>
        <v>38000</v>
      </c>
      <c r="W35" s="22">
        <f>Assumptions!D58</f>
        <v>38000</v>
      </c>
      <c r="X35" s="22">
        <f>Assumptions!D58</f>
        <v>38000</v>
      </c>
      <c r="Y35" s="22">
        <f>Assumptions!D58</f>
        <v>38000</v>
      </c>
      <c r="Z35" s="22">
        <f>Assumptions!D59</f>
        <v>85000</v>
      </c>
      <c r="AA35" s="22">
        <f>Assumptions!D59</f>
        <v>85000</v>
      </c>
      <c r="AB35" s="22">
        <f>Assumptions!D59</f>
        <v>85000</v>
      </c>
      <c r="AC35" s="22">
        <f>Assumptions!D59</f>
        <v>85000</v>
      </c>
      <c r="AD35" s="22">
        <f>Assumptions!D59</f>
        <v>85000</v>
      </c>
      <c r="AE35" s="22">
        <f>Assumptions!D59</f>
        <v>85000</v>
      </c>
      <c r="AF35" s="22">
        <f>Assumptions!D59</f>
        <v>85000</v>
      </c>
      <c r="AG35" s="22">
        <f>Assumptions!D59</f>
        <v>85000</v>
      </c>
      <c r="AH35" s="22">
        <f>Assumptions!D59</f>
        <v>85000</v>
      </c>
      <c r="AI35" s="22">
        <f>Assumptions!D59</f>
        <v>85000</v>
      </c>
      <c r="AJ35" s="22">
        <f>Assumptions!D59</f>
        <v>85000</v>
      </c>
      <c r="AK35" s="22">
        <f>Assumptions!D59</f>
        <v>85000</v>
      </c>
      <c r="AL35" s="22">
        <f t="shared" si="9"/>
        <v>90000</v>
      </c>
      <c r="AM35" s="22">
        <f t="shared" si="10"/>
        <v>456000</v>
      </c>
      <c r="AN35" s="22">
        <f t="shared" si="11"/>
        <v>1020000</v>
      </c>
    </row>
    <row r="36" spans="1:41" ht="15" customHeight="1" x14ac:dyDescent="0.2">
      <c r="A36" s="9" t="s">
        <v>165</v>
      </c>
      <c r="B36" s="22">
        <f>Assumptions!D60</f>
        <v>1500</v>
      </c>
      <c r="C36" s="22">
        <f>Assumptions!D60</f>
        <v>1500</v>
      </c>
      <c r="D36" s="22">
        <f>Assumptions!D60</f>
        <v>1500</v>
      </c>
      <c r="E36" s="22">
        <f>Assumptions!D60+Assumptions!D12</f>
        <v>5500</v>
      </c>
      <c r="F36" s="22">
        <f>Assumptions!D60+Assumptions!D12</f>
        <v>5500</v>
      </c>
      <c r="G36" s="22">
        <f>Assumptions!D60+Assumptions!D12</f>
        <v>5500</v>
      </c>
      <c r="H36" s="22">
        <f>Assumptions!D60+Assumptions!D12</f>
        <v>5500</v>
      </c>
      <c r="I36" s="22">
        <f>Assumptions!D60+Assumptions!D12</f>
        <v>5500</v>
      </c>
      <c r="J36" s="22">
        <f>Assumptions!D60+Assumptions!D12</f>
        <v>5500</v>
      </c>
      <c r="K36" s="22">
        <f>Assumptions!D60+Assumptions!D12</f>
        <v>5500</v>
      </c>
      <c r="L36" s="22">
        <f>Assumptions!D60+Assumptions!D12</f>
        <v>5500</v>
      </c>
      <c r="M36" s="22">
        <f>Assumptions!D60+Assumptions!D12</f>
        <v>5500</v>
      </c>
      <c r="N36" s="22">
        <f>Assumptions!D61+Assumptions!D13</f>
        <v>15500</v>
      </c>
      <c r="O36" s="22">
        <f>Assumptions!D61+Assumptions!D13</f>
        <v>15500</v>
      </c>
      <c r="P36" s="22">
        <f>Assumptions!D61+Assumptions!D13</f>
        <v>15500</v>
      </c>
      <c r="Q36" s="22">
        <f>Assumptions!D61+Assumptions!D13</f>
        <v>15500</v>
      </c>
      <c r="R36" s="22">
        <f>Assumptions!D61+Assumptions!D13</f>
        <v>15500</v>
      </c>
      <c r="S36" s="22">
        <f>Assumptions!D61+Assumptions!D13</f>
        <v>15500</v>
      </c>
      <c r="T36" s="22">
        <f>Assumptions!D61+Assumptions!D13</f>
        <v>15500</v>
      </c>
      <c r="U36" s="22">
        <f>Assumptions!D61+Assumptions!D13</f>
        <v>15500</v>
      </c>
      <c r="V36" s="22">
        <f>Assumptions!D61+Assumptions!D13</f>
        <v>15500</v>
      </c>
      <c r="W36" s="22">
        <f>Assumptions!D61+Assumptions!D13</f>
        <v>15500</v>
      </c>
      <c r="X36" s="22">
        <f>Assumptions!D61+Assumptions!D13</f>
        <v>15500</v>
      </c>
      <c r="Y36" s="22">
        <f>Assumptions!D61+Assumptions!D13</f>
        <v>15500</v>
      </c>
      <c r="Z36" s="22">
        <f>Assumptions!D62+Assumptions!D14</f>
        <v>28500</v>
      </c>
      <c r="AA36" s="22">
        <f>Assumptions!D62+Assumptions!D14</f>
        <v>28500</v>
      </c>
      <c r="AB36" s="22">
        <f>Assumptions!D62+Assumptions!D14</f>
        <v>28500</v>
      </c>
      <c r="AC36" s="22">
        <f>Assumptions!D62+Assumptions!D14</f>
        <v>28500</v>
      </c>
      <c r="AD36" s="22">
        <f>Assumptions!D62+Assumptions!D14</f>
        <v>28500</v>
      </c>
      <c r="AE36" s="22">
        <f>Assumptions!D62+Assumptions!D14</f>
        <v>28500</v>
      </c>
      <c r="AF36" s="22">
        <f>Assumptions!D62+Assumptions!D14</f>
        <v>28500</v>
      </c>
      <c r="AG36" s="22">
        <f>Assumptions!D62+Assumptions!D14</f>
        <v>28500</v>
      </c>
      <c r="AH36" s="22">
        <f>Assumptions!D62+Assumptions!D14</f>
        <v>28500</v>
      </c>
      <c r="AI36" s="22">
        <f>Assumptions!D62+Assumptions!D14</f>
        <v>28500</v>
      </c>
      <c r="AJ36" s="22">
        <f>Assumptions!D62+Assumptions!D14</f>
        <v>28500</v>
      </c>
      <c r="AK36" s="22">
        <f>Assumptions!D62+Assumptions!D14</f>
        <v>28500</v>
      </c>
      <c r="AL36" s="22">
        <f t="shared" si="9"/>
        <v>54000</v>
      </c>
      <c r="AM36" s="22">
        <f t="shared" si="10"/>
        <v>186000</v>
      </c>
      <c r="AN36" s="22">
        <f t="shared" si="11"/>
        <v>342000</v>
      </c>
    </row>
    <row r="37" spans="1:41" ht="15" customHeight="1" x14ac:dyDescent="0.2">
      <c r="A37" s="9" t="s">
        <v>166</v>
      </c>
      <c r="B37" s="22">
        <f>0</f>
        <v>0</v>
      </c>
      <c r="C37" s="22">
        <f>0</f>
        <v>0</v>
      </c>
      <c r="D37" s="22">
        <f>Assumptions!D63</f>
        <v>900</v>
      </c>
      <c r="E37" s="22">
        <f>Assumptions!D63</f>
        <v>900</v>
      </c>
      <c r="F37" s="22">
        <f>Assumptions!D63</f>
        <v>900</v>
      </c>
      <c r="G37" s="22">
        <f>Assumptions!D63</f>
        <v>900</v>
      </c>
      <c r="H37" s="22">
        <f>Assumptions!D63</f>
        <v>900</v>
      </c>
      <c r="I37" s="22">
        <f>Assumptions!D63</f>
        <v>900</v>
      </c>
      <c r="J37" s="22">
        <f>Assumptions!D63</f>
        <v>900</v>
      </c>
      <c r="K37" s="22">
        <f>Assumptions!D63</f>
        <v>900</v>
      </c>
      <c r="L37" s="22">
        <f>Assumptions!D63</f>
        <v>900</v>
      </c>
      <c r="M37" s="22">
        <f>Assumptions!D63</f>
        <v>900</v>
      </c>
      <c r="N37" s="22">
        <f>Assumptions!D64</f>
        <v>1500</v>
      </c>
      <c r="O37" s="22">
        <f>Assumptions!D64</f>
        <v>1500</v>
      </c>
      <c r="P37" s="22">
        <f>Assumptions!D64</f>
        <v>1500</v>
      </c>
      <c r="Q37" s="22">
        <f>Assumptions!D64</f>
        <v>1500</v>
      </c>
      <c r="R37" s="22">
        <f>Assumptions!D64</f>
        <v>1500</v>
      </c>
      <c r="S37" s="22">
        <f>Assumptions!D64</f>
        <v>1500</v>
      </c>
      <c r="T37" s="22">
        <f>Assumptions!D64</f>
        <v>1500</v>
      </c>
      <c r="U37" s="22">
        <f>Assumptions!D64</f>
        <v>1500</v>
      </c>
      <c r="V37" s="22">
        <f>Assumptions!D64</f>
        <v>1500</v>
      </c>
      <c r="W37" s="22">
        <f>Assumptions!D64</f>
        <v>1500</v>
      </c>
      <c r="X37" s="22">
        <f>Assumptions!D64</f>
        <v>1500</v>
      </c>
      <c r="Y37" s="22">
        <f>Assumptions!D64</f>
        <v>1500</v>
      </c>
      <c r="Z37" s="22">
        <f>Assumptions!D65</f>
        <v>2200</v>
      </c>
      <c r="AA37" s="22">
        <f>Assumptions!D65</f>
        <v>2200</v>
      </c>
      <c r="AB37" s="22">
        <f>Assumptions!D65</f>
        <v>2200</v>
      </c>
      <c r="AC37" s="22">
        <f>Assumptions!D65</f>
        <v>2200</v>
      </c>
      <c r="AD37" s="22">
        <f>Assumptions!D65</f>
        <v>2200</v>
      </c>
      <c r="AE37" s="22">
        <f>Assumptions!D65</f>
        <v>2200</v>
      </c>
      <c r="AF37" s="22">
        <f>Assumptions!D65</f>
        <v>2200</v>
      </c>
      <c r="AG37" s="22">
        <f>Assumptions!D65</f>
        <v>2200</v>
      </c>
      <c r="AH37" s="22">
        <f>Assumptions!D65</f>
        <v>2200</v>
      </c>
      <c r="AI37" s="22">
        <f>Assumptions!D65</f>
        <v>2200</v>
      </c>
      <c r="AJ37" s="22">
        <f>Assumptions!D65</f>
        <v>2200</v>
      </c>
      <c r="AK37" s="22">
        <f>Assumptions!D65</f>
        <v>2200</v>
      </c>
      <c r="AL37" s="22">
        <f t="shared" si="9"/>
        <v>9000</v>
      </c>
      <c r="AM37" s="22">
        <f t="shared" si="10"/>
        <v>18000</v>
      </c>
      <c r="AN37" s="22">
        <f t="shared" si="11"/>
        <v>26400</v>
      </c>
    </row>
    <row r="38" spans="1:41" ht="15" customHeight="1" x14ac:dyDescent="0.2">
      <c r="A38" s="9" t="s">
        <v>167</v>
      </c>
      <c r="B38" s="22">
        <f>Assumptions!D66</f>
        <v>800</v>
      </c>
      <c r="C38" s="22">
        <f>Assumptions!D66</f>
        <v>800</v>
      </c>
      <c r="D38" s="22">
        <f>Assumptions!D66</f>
        <v>800</v>
      </c>
      <c r="E38" s="22">
        <f>Assumptions!D67</f>
        <v>350</v>
      </c>
      <c r="F38" s="22">
        <f>Assumptions!D67</f>
        <v>350</v>
      </c>
      <c r="G38" s="22">
        <f>Assumptions!D67</f>
        <v>350</v>
      </c>
      <c r="H38" s="22">
        <f>Assumptions!D67</f>
        <v>350</v>
      </c>
      <c r="I38" s="22">
        <f>Assumptions!D67</f>
        <v>350</v>
      </c>
      <c r="J38" s="22">
        <f>Assumptions!D67</f>
        <v>350</v>
      </c>
      <c r="K38" s="22">
        <f>Assumptions!D67</f>
        <v>350</v>
      </c>
      <c r="L38" s="22">
        <f>Assumptions!D67</f>
        <v>350</v>
      </c>
      <c r="M38" s="22">
        <f>Assumptions!D67</f>
        <v>350</v>
      </c>
      <c r="N38" s="22">
        <f>Assumptions!D67</f>
        <v>350</v>
      </c>
      <c r="O38" s="22">
        <f>Assumptions!D67</f>
        <v>350</v>
      </c>
      <c r="P38" s="22">
        <f>Assumptions!D67</f>
        <v>350</v>
      </c>
      <c r="Q38" s="22">
        <f>Assumptions!D67</f>
        <v>350</v>
      </c>
      <c r="R38" s="22">
        <f>Assumptions!D67</f>
        <v>350</v>
      </c>
      <c r="S38" s="22">
        <f>Assumptions!D67</f>
        <v>350</v>
      </c>
      <c r="T38" s="22">
        <f>Assumptions!D67</f>
        <v>350</v>
      </c>
      <c r="U38" s="22">
        <f>Assumptions!D67</f>
        <v>350</v>
      </c>
      <c r="V38" s="22">
        <f>Assumptions!D67</f>
        <v>350</v>
      </c>
      <c r="W38" s="22">
        <f>Assumptions!D67</f>
        <v>350</v>
      </c>
      <c r="X38" s="22">
        <f>Assumptions!D67</f>
        <v>350</v>
      </c>
      <c r="Y38" s="22">
        <f>Assumptions!D67</f>
        <v>350</v>
      </c>
      <c r="Z38" s="22">
        <f>Assumptions!D67</f>
        <v>350</v>
      </c>
      <c r="AA38" s="22">
        <f>Assumptions!D67</f>
        <v>350</v>
      </c>
      <c r="AB38" s="22">
        <f>Assumptions!D67</f>
        <v>350</v>
      </c>
      <c r="AC38" s="22">
        <f>Assumptions!D67</f>
        <v>350</v>
      </c>
      <c r="AD38" s="22">
        <f>Assumptions!D67</f>
        <v>350</v>
      </c>
      <c r="AE38" s="22">
        <f>Assumptions!D67</f>
        <v>350</v>
      </c>
      <c r="AF38" s="22">
        <f>Assumptions!D67</f>
        <v>350</v>
      </c>
      <c r="AG38" s="22">
        <f>Assumptions!D67</f>
        <v>350</v>
      </c>
      <c r="AH38" s="22">
        <f>Assumptions!D67</f>
        <v>350</v>
      </c>
      <c r="AI38" s="22">
        <f>Assumptions!D67</f>
        <v>350</v>
      </c>
      <c r="AJ38" s="22">
        <f>Assumptions!D67</f>
        <v>350</v>
      </c>
      <c r="AK38" s="22">
        <f>Assumptions!D67</f>
        <v>350</v>
      </c>
      <c r="AL38" s="22">
        <f t="shared" si="9"/>
        <v>5550</v>
      </c>
      <c r="AM38" s="22">
        <f t="shared" si="10"/>
        <v>4200</v>
      </c>
      <c r="AN38" s="22">
        <f t="shared" si="11"/>
        <v>4200</v>
      </c>
    </row>
    <row r="39" spans="1:41" ht="15" customHeight="1" x14ac:dyDescent="0.2">
      <c r="A39" s="9" t="s">
        <v>168</v>
      </c>
      <c r="B39" s="22">
        <f>0</f>
        <v>0</v>
      </c>
      <c r="C39" s="22">
        <f>0</f>
        <v>0</v>
      </c>
      <c r="D39" s="22">
        <f>0</f>
        <v>0</v>
      </c>
      <c r="E39" s="22">
        <f>Assumptions!D50/3</f>
        <v>2666.6666666666665</v>
      </c>
      <c r="F39" s="22">
        <f>Assumptions!D50/3</f>
        <v>2666.6666666666665</v>
      </c>
      <c r="G39" s="22">
        <f>Assumptions!D50/3</f>
        <v>2666.6666666666665</v>
      </c>
      <c r="H39" s="22">
        <f>0</f>
        <v>0</v>
      </c>
      <c r="I39" s="22">
        <f>0</f>
        <v>0</v>
      </c>
      <c r="J39" s="22">
        <f>0</f>
        <v>0</v>
      </c>
      <c r="K39" s="22">
        <f>0</f>
        <v>0</v>
      </c>
      <c r="L39" s="22">
        <f>0</f>
        <v>0</v>
      </c>
      <c r="M39" s="22">
        <f>0</f>
        <v>0</v>
      </c>
      <c r="N39" s="22">
        <f>0</f>
        <v>0</v>
      </c>
      <c r="O39" s="22">
        <f>0</f>
        <v>0</v>
      </c>
      <c r="P39" s="22">
        <f>0</f>
        <v>0</v>
      </c>
      <c r="Q39" s="22">
        <f>0</f>
        <v>0</v>
      </c>
      <c r="R39" s="22">
        <f>0</f>
        <v>0</v>
      </c>
      <c r="S39" s="22">
        <f>0</f>
        <v>0</v>
      </c>
      <c r="T39" s="22">
        <f>0</f>
        <v>0</v>
      </c>
      <c r="U39" s="22">
        <f>0</f>
        <v>0</v>
      </c>
      <c r="V39" s="22">
        <f>0</f>
        <v>0</v>
      </c>
      <c r="W39" s="22">
        <f>0</f>
        <v>0</v>
      </c>
      <c r="X39" s="22">
        <f>0</f>
        <v>0</v>
      </c>
      <c r="Y39" s="22">
        <f>0</f>
        <v>0</v>
      </c>
      <c r="Z39" s="22">
        <f>0</f>
        <v>0</v>
      </c>
      <c r="AA39" s="22">
        <f>0</f>
        <v>0</v>
      </c>
      <c r="AB39" s="22">
        <f>0</f>
        <v>0</v>
      </c>
      <c r="AC39" s="22">
        <f>0</f>
        <v>0</v>
      </c>
      <c r="AD39" s="22">
        <f>0</f>
        <v>0</v>
      </c>
      <c r="AE39" s="22">
        <f>0</f>
        <v>0</v>
      </c>
      <c r="AF39" s="22">
        <f>0</f>
        <v>0</v>
      </c>
      <c r="AG39" s="22">
        <f>0</f>
        <v>0</v>
      </c>
      <c r="AH39" s="22">
        <f>0</f>
        <v>0</v>
      </c>
      <c r="AI39" s="22">
        <f>0</f>
        <v>0</v>
      </c>
      <c r="AJ39" s="22">
        <f>0</f>
        <v>0</v>
      </c>
      <c r="AK39" s="22">
        <f>0</f>
        <v>0</v>
      </c>
      <c r="AL39" s="22">
        <f t="shared" si="9"/>
        <v>8000</v>
      </c>
      <c r="AM39" s="22">
        <f t="shared" si="10"/>
        <v>0</v>
      </c>
      <c r="AN39" s="22">
        <f t="shared" si="11"/>
        <v>0</v>
      </c>
    </row>
    <row r="40" spans="1:41" ht="15" customHeight="1" x14ac:dyDescent="0.2">
      <c r="A40" s="9" t="s">
        <v>169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Assumptions!D51</f>
        <v>5000</v>
      </c>
      <c r="Q40" s="22">
        <f>0</f>
        <v>0</v>
      </c>
      <c r="R40" s="22">
        <f>0</f>
        <v>0</v>
      </c>
      <c r="S40" s="22">
        <f>0</f>
        <v>0</v>
      </c>
      <c r="T40" s="22">
        <f>0</f>
        <v>0</v>
      </c>
      <c r="U40" s="22">
        <f>0</f>
        <v>0</v>
      </c>
      <c r="V40" s="22">
        <f>0</f>
        <v>0</v>
      </c>
      <c r="W40" s="22">
        <f>0</f>
        <v>0</v>
      </c>
      <c r="X40" s="22">
        <f>0</f>
        <v>0</v>
      </c>
      <c r="Y40" s="22">
        <f>0</f>
        <v>0</v>
      </c>
      <c r="Z40" s="22">
        <f>0</f>
        <v>0</v>
      </c>
      <c r="AA40" s="22">
        <f>0</f>
        <v>0</v>
      </c>
      <c r="AB40" s="22">
        <f>0</f>
        <v>0</v>
      </c>
      <c r="AC40" s="22">
        <f>0</f>
        <v>0</v>
      </c>
      <c r="AD40" s="22">
        <f>0</f>
        <v>0</v>
      </c>
      <c r="AE40" s="22">
        <f>0</f>
        <v>0</v>
      </c>
      <c r="AF40" s="22">
        <f>0</f>
        <v>0</v>
      </c>
      <c r="AG40" s="22">
        <f>0</f>
        <v>0</v>
      </c>
      <c r="AH40" s="22">
        <f>0</f>
        <v>0</v>
      </c>
      <c r="AI40" s="22">
        <f>0</f>
        <v>0</v>
      </c>
      <c r="AJ40" s="22">
        <f>0</f>
        <v>0</v>
      </c>
      <c r="AK40" s="22">
        <f>0</f>
        <v>0</v>
      </c>
      <c r="AL40" s="22">
        <f t="shared" si="9"/>
        <v>0</v>
      </c>
      <c r="AM40" s="22">
        <f t="shared" si="10"/>
        <v>5000</v>
      </c>
      <c r="AN40" s="22">
        <f t="shared" si="11"/>
        <v>0</v>
      </c>
    </row>
    <row r="41" spans="1:41" ht="15" customHeight="1" x14ac:dyDescent="0.2">
      <c r="A41" s="9" t="s">
        <v>170</v>
      </c>
      <c r="B41" s="22">
        <f>0</f>
        <v>0</v>
      </c>
      <c r="C41" s="22">
        <f>0</f>
        <v>0</v>
      </c>
      <c r="D41" s="22">
        <f>0</f>
        <v>0</v>
      </c>
      <c r="E41" s="22">
        <f>0</f>
        <v>0</v>
      </c>
      <c r="F41" s="22">
        <f>0</f>
        <v>0</v>
      </c>
      <c r="G41" s="22">
        <f>0</f>
        <v>0</v>
      </c>
      <c r="H41" s="22">
        <f>0</f>
        <v>0</v>
      </c>
      <c r="I41" s="22">
        <f>0</f>
        <v>0</v>
      </c>
      <c r="J41" s="22">
        <f>0</f>
        <v>0</v>
      </c>
      <c r="K41" s="22">
        <f>0</f>
        <v>0</v>
      </c>
      <c r="L41" s="22">
        <f>0</f>
        <v>0</v>
      </c>
      <c r="M41" s="22">
        <f>0</f>
        <v>0</v>
      </c>
      <c r="N41" s="22">
        <f>0</f>
        <v>0</v>
      </c>
      <c r="O41" s="22">
        <f>0</f>
        <v>0</v>
      </c>
      <c r="P41" s="22">
        <f>0</f>
        <v>0</v>
      </c>
      <c r="Q41" s="22">
        <f>0</f>
        <v>0</v>
      </c>
      <c r="R41" s="22">
        <f>0</f>
        <v>0</v>
      </c>
      <c r="S41" s="22">
        <f>0</f>
        <v>0</v>
      </c>
      <c r="T41" s="22">
        <f>0</f>
        <v>0</v>
      </c>
      <c r="U41" s="22">
        <f>Assumptions!D52</f>
        <v>3000</v>
      </c>
      <c r="V41" s="22">
        <f>Assumptions!D52</f>
        <v>3000</v>
      </c>
      <c r="W41" s="22">
        <f>Assumptions!D52</f>
        <v>3000</v>
      </c>
      <c r="X41" s="22">
        <f>Assumptions!D52</f>
        <v>3000</v>
      </c>
      <c r="Y41" s="22">
        <f>0</f>
        <v>0</v>
      </c>
      <c r="Z41" s="22">
        <f>0</f>
        <v>0</v>
      </c>
      <c r="AA41" s="22">
        <f>0</f>
        <v>0</v>
      </c>
      <c r="AB41" s="22">
        <f>0</f>
        <v>0</v>
      </c>
      <c r="AC41" s="22">
        <f>0</f>
        <v>0</v>
      </c>
      <c r="AD41" s="22">
        <f>0</f>
        <v>0</v>
      </c>
      <c r="AE41" s="22">
        <f>0</f>
        <v>0</v>
      </c>
      <c r="AF41" s="22">
        <f>0</f>
        <v>0</v>
      </c>
      <c r="AG41" s="22">
        <f>0</f>
        <v>0</v>
      </c>
      <c r="AH41" s="22">
        <f>0</f>
        <v>0</v>
      </c>
      <c r="AI41" s="22">
        <f>0</f>
        <v>0</v>
      </c>
      <c r="AJ41" s="22">
        <f>0</f>
        <v>0</v>
      </c>
      <c r="AK41" s="22">
        <f>0</f>
        <v>0</v>
      </c>
      <c r="AL41" s="22">
        <f t="shared" si="9"/>
        <v>0</v>
      </c>
      <c r="AM41" s="22">
        <f t="shared" si="10"/>
        <v>12000</v>
      </c>
      <c r="AN41" s="22">
        <f t="shared" si="11"/>
        <v>0</v>
      </c>
    </row>
    <row r="42" spans="1:41" s="37" customFormat="1" ht="15" customHeight="1" x14ac:dyDescent="0.2">
      <c r="A42" s="36" t="s">
        <v>171</v>
      </c>
      <c r="B42" s="33">
        <f t="shared" ref="B42:AK42" si="12">B30+B31+B32+B33+B34+B35+B36+B37+B38+B39+B40+B41</f>
        <v>3289.7305000000001</v>
      </c>
      <c r="C42" s="33">
        <f t="shared" si="12"/>
        <v>3294.8390125000001</v>
      </c>
      <c r="D42" s="33">
        <f t="shared" si="12"/>
        <v>10740.781199224999</v>
      </c>
      <c r="E42" s="33">
        <f t="shared" si="12"/>
        <v>17174.269237347482</v>
      </c>
      <c r="F42" s="33">
        <f t="shared" si="12"/>
        <v>17476.442204333667</v>
      </c>
      <c r="G42" s="33">
        <f t="shared" si="12"/>
        <v>18288.827632823151</v>
      </c>
      <c r="H42" s="33">
        <f t="shared" si="12"/>
        <v>20955.367779198623</v>
      </c>
      <c r="I42" s="33">
        <f t="shared" si="12"/>
        <v>21270.327926078608</v>
      </c>
      <c r="J42" s="33">
        <f t="shared" si="12"/>
        <v>21569.257168246218</v>
      </c>
      <c r="K42" s="33">
        <f t="shared" si="12"/>
        <v>21854.243884777825</v>
      </c>
      <c r="L42" s="33">
        <f t="shared" si="12"/>
        <v>22127.272764724381</v>
      </c>
      <c r="M42" s="33">
        <f t="shared" si="12"/>
        <v>22390.247549644184</v>
      </c>
      <c r="N42" s="33">
        <f t="shared" si="12"/>
        <v>65874.456914330498</v>
      </c>
      <c r="O42" s="33">
        <f t="shared" si="12"/>
        <v>66763.371343654493</v>
      </c>
      <c r="P42" s="33">
        <f t="shared" si="12"/>
        <v>72639.560422850584</v>
      </c>
      <c r="Q42" s="33">
        <f t="shared" si="12"/>
        <v>68487.112484169746</v>
      </c>
      <c r="R42" s="33">
        <f t="shared" si="12"/>
        <v>69309.799528710588</v>
      </c>
      <c r="S42" s="33">
        <f t="shared" si="12"/>
        <v>70111.305150641288</v>
      </c>
      <c r="T42" s="33">
        <f t="shared" si="12"/>
        <v>70895.265345080843</v>
      </c>
      <c r="U42" s="33">
        <f t="shared" si="12"/>
        <v>74665.309636310078</v>
      </c>
      <c r="V42" s="33">
        <f t="shared" si="12"/>
        <v>75425.103088155636</v>
      </c>
      <c r="W42" s="33">
        <f t="shared" si="12"/>
        <v>76178.389778481418</v>
      </c>
      <c r="X42" s="33">
        <f t="shared" si="12"/>
        <v>76929.03834840894</v>
      </c>
      <c r="Y42" s="33">
        <f t="shared" si="12"/>
        <v>74677.981899261591</v>
      </c>
      <c r="Z42" s="33">
        <f t="shared" si="12"/>
        <v>136906.21256753674</v>
      </c>
      <c r="AA42" s="33">
        <f t="shared" si="12"/>
        <v>138703.49724476837</v>
      </c>
      <c r="AB42" s="33">
        <f t="shared" si="12"/>
        <v>140480.8925266242</v>
      </c>
      <c r="AC42" s="33">
        <f t="shared" si="12"/>
        <v>142244.61531972577</v>
      </c>
      <c r="AD42" s="33">
        <f t="shared" si="12"/>
        <v>144001.36214927229</v>
      </c>
      <c r="AE42" s="33">
        <f t="shared" si="12"/>
        <v>145758.38458689343</v>
      </c>
      <c r="AF42" s="33">
        <f t="shared" si="12"/>
        <v>147523.57392943004</v>
      </c>
      <c r="AG42" s="33">
        <f t="shared" si="12"/>
        <v>149305.55635634458</v>
      </c>
      <c r="AH42" s="33">
        <f t="shared" si="12"/>
        <v>151113.79995185731</v>
      </c>
      <c r="AI42" s="33">
        <f t="shared" si="12"/>
        <v>152958.73515695578</v>
      </c>
      <c r="AJ42" s="33">
        <f t="shared" si="12"/>
        <v>154851.89041880728</v>
      </c>
      <c r="AK42" s="33">
        <f t="shared" si="12"/>
        <v>156806.04503385207</v>
      </c>
      <c r="AL42" s="33">
        <f t="shared" si="9"/>
        <v>200431.60685889915</v>
      </c>
      <c r="AM42" s="33">
        <f t="shared" si="10"/>
        <v>861956.69394005591</v>
      </c>
      <c r="AN42" s="33">
        <f t="shared" si="11"/>
        <v>1760654.5652420677</v>
      </c>
    </row>
    <row r="44" spans="1:41" ht="15" customHeight="1" x14ac:dyDescent="0.2">
      <c r="A44" s="6" t="s">
        <v>172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ht="27.75" customHeight="1" x14ac:dyDescent="0.2">
      <c r="A45" s="9" t="s">
        <v>173</v>
      </c>
      <c r="B45" s="18">
        <f t="shared" ref="B45:AK45" si="13">IF(B24=0,0,(B24-(B30+B31+B32))/B24)</f>
        <v>0.85</v>
      </c>
      <c r="C45" s="18">
        <f t="shared" si="13"/>
        <v>0.85000000000000009</v>
      </c>
      <c r="D45" s="18">
        <f t="shared" si="13"/>
        <v>0.97240495890494782</v>
      </c>
      <c r="E45" s="18">
        <f t="shared" si="13"/>
        <v>0.91780533921653229</v>
      </c>
      <c r="F45" s="18">
        <f t="shared" si="13"/>
        <v>0.88727954467164083</v>
      </c>
      <c r="G45" s="18">
        <f t="shared" si="13"/>
        <v>0.78963623023920226</v>
      </c>
      <c r="H45" s="18">
        <f t="shared" si="13"/>
        <v>0.81358609441354168</v>
      </c>
      <c r="I45" s="18">
        <f t="shared" si="13"/>
        <v>0.82732498461863169</v>
      </c>
      <c r="J45" s="18">
        <f t="shared" si="13"/>
        <v>0.83638690857104747</v>
      </c>
      <c r="K45" s="18">
        <f t="shared" si="13"/>
        <v>0.84290627864194834</v>
      </c>
      <c r="L45" s="18">
        <f t="shared" si="13"/>
        <v>0.84787965538735843</v>
      </c>
      <c r="M45" s="18">
        <f t="shared" si="13"/>
        <v>0.85183379970290629</v>
      </c>
      <c r="N45" s="18">
        <f t="shared" si="13"/>
        <v>0.87333078966192468</v>
      </c>
      <c r="O45" s="18">
        <f t="shared" si="13"/>
        <v>0.87573489691072615</v>
      </c>
      <c r="P45" s="18">
        <f t="shared" si="13"/>
        <v>0.87736202393657892</v>
      </c>
      <c r="Q45" s="18">
        <f t="shared" si="13"/>
        <v>0.87862653808399949</v>
      </c>
      <c r="R45" s="18">
        <f t="shared" si="13"/>
        <v>0.87965418172304488</v>
      </c>
      <c r="S45" s="18">
        <f t="shared" si="13"/>
        <v>0.88051198234449368</v>
      </c>
      <c r="T45" s="18">
        <f t="shared" si="13"/>
        <v>0.88123849643792729</v>
      </c>
      <c r="U45" s="18">
        <f t="shared" si="13"/>
        <v>0.88185705232660183</v>
      </c>
      <c r="V45" s="18">
        <f t="shared" si="13"/>
        <v>0.88238218427835913</v>
      </c>
      <c r="W45" s="18">
        <f t="shared" si="13"/>
        <v>0.88282301884457759</v>
      </c>
      <c r="X45" s="18">
        <f t="shared" si="13"/>
        <v>0.8831851750198022</v>
      </c>
      <c r="Y45" s="18">
        <f t="shared" si="13"/>
        <v>0.88348112994097672</v>
      </c>
      <c r="Z45" s="18">
        <f t="shared" si="13"/>
        <v>0.88771738739552652</v>
      </c>
      <c r="AA45" s="18">
        <f t="shared" si="13"/>
        <v>0.88723650400980236</v>
      </c>
      <c r="AB45" s="18">
        <f t="shared" si="13"/>
        <v>0.88685452639226425</v>
      </c>
      <c r="AC45" s="18">
        <f t="shared" si="13"/>
        <v>0.88653232642937296</v>
      </c>
      <c r="AD45" s="18">
        <f t="shared" si="13"/>
        <v>0.88624308161540544</v>
      </c>
      <c r="AE45" s="18">
        <f t="shared" si="13"/>
        <v>0.88596735706067076</v>
      </c>
      <c r="AF45" s="18">
        <f t="shared" si="13"/>
        <v>0.885690345908833</v>
      </c>
      <c r="AG45" s="18">
        <f t="shared" si="13"/>
        <v>0.88540024344290869</v>
      </c>
      <c r="AH45" s="18">
        <f t="shared" si="13"/>
        <v>0.88508725288017809</v>
      </c>
      <c r="AI45" s="18">
        <f t="shared" si="13"/>
        <v>0.88474296192292001</v>
      </c>
      <c r="AJ45" s="18">
        <f t="shared" si="13"/>
        <v>0.88435994763017212</v>
      </c>
      <c r="AK45" s="18">
        <f t="shared" si="13"/>
        <v>0.88393152860527979</v>
      </c>
      <c r="AL45" s="18">
        <f>IF(SUM(B24:M24)=0,0,(SUM(B24:M24)-(SUM(B30:M30)+SUM(B31:M31)+SUM(B32:M32)))/SUM(B24:M24))</f>
        <v>0.84186979511763549</v>
      </c>
      <c r="AM45" s="18">
        <f>IF(SUM(N24:Y24)=0,0,(SUM(N24:Y24)-(SUM(N30:Y30)+SUM(N31:Y31)+SUM(N32:Y32)))/SUM(N24:Y24))</f>
        <v>0.88103346770127022</v>
      </c>
      <c r="AN45" s="18">
        <f>IF(SUM(Z24:AK24)=0,0,(SUM(Z24:AK24)-(SUM(Z30:AK30)+SUM(Z31:AK31)+SUM(Z32:AK32)))/SUM(Z24:AK24))</f>
        <v>0.88553214791320678</v>
      </c>
      <c r="AO45" t="s">
        <v>174</v>
      </c>
    </row>
    <row r="46" spans="1:41" s="37" customFormat="1" ht="15" customHeight="1" x14ac:dyDescent="0.2">
      <c r="A46" s="38" t="s">
        <v>175</v>
      </c>
      <c r="B46" s="34">
        <f t="shared" ref="B46:AK46" si="14">B24-B42</f>
        <v>-3224.8605000000002</v>
      </c>
      <c r="C46" s="34">
        <f t="shared" si="14"/>
        <v>-3195.9122625</v>
      </c>
      <c r="D46" s="34">
        <f t="shared" si="14"/>
        <v>-9821.7007877249998</v>
      </c>
      <c r="E46" s="34">
        <f t="shared" si="14"/>
        <v>-15515.107860088709</v>
      </c>
      <c r="F46" s="34">
        <f t="shared" si="14"/>
        <v>-14458.70148376149</v>
      </c>
      <c r="G46" s="34">
        <f t="shared" si="14"/>
        <v>-13406.737582959398</v>
      </c>
      <c r="H46" s="34">
        <f t="shared" si="14"/>
        <v>-14297.656941414785</v>
      </c>
      <c r="I46" s="34">
        <f t="shared" si="14"/>
        <v>-12915.887722875454</v>
      </c>
      <c r="J46" s="34">
        <f t="shared" si="14"/>
        <v>-11587.784516039772</v>
      </c>
      <c r="K46" s="34">
        <f t="shared" si="14"/>
        <v>-10306.780825981448</v>
      </c>
      <c r="L46" s="34">
        <f t="shared" si="14"/>
        <v>-9066.6485368660506</v>
      </c>
      <c r="M46" s="34">
        <f t="shared" si="14"/>
        <v>-7861.4272118288445</v>
      </c>
      <c r="N46" s="34">
        <f t="shared" si="14"/>
        <v>-45238.922475081403</v>
      </c>
      <c r="O46" s="34">
        <f t="shared" si="14"/>
        <v>-41064.832094104277</v>
      </c>
      <c r="P46" s="34">
        <f t="shared" si="14"/>
        <v>-41878.898286265437</v>
      </c>
      <c r="Q46" s="34">
        <f t="shared" si="14"/>
        <v>-32782.681557769734</v>
      </c>
      <c r="R46" s="34">
        <f t="shared" si="14"/>
        <v>-28765.715293661204</v>
      </c>
      <c r="S46" s="34">
        <f t="shared" si="14"/>
        <v>-24817.666658452465</v>
      </c>
      <c r="T46" s="34">
        <f t="shared" si="14"/>
        <v>-20928.222547476209</v>
      </c>
      <c r="U46" s="34">
        <f t="shared" si="14"/>
        <v>-20086.973311667185</v>
      </c>
      <c r="V46" s="34">
        <f t="shared" si="14"/>
        <v>-16283.292619959808</v>
      </c>
      <c r="W46" s="34">
        <f t="shared" si="14"/>
        <v>-12506.211749373993</v>
      </c>
      <c r="X46" s="34">
        <f t="shared" si="14"/>
        <v>-8744.2864931050281</v>
      </c>
      <c r="Y46" s="34">
        <f t="shared" si="14"/>
        <v>-1991.4784282013425</v>
      </c>
      <c r="Z46" s="34">
        <f t="shared" si="14"/>
        <v>-53356.606465404679</v>
      </c>
      <c r="AA46" s="34">
        <f t="shared" si="14"/>
        <v>-44928.843599064276</v>
      </c>
      <c r="AB46" s="34">
        <f t="shared" si="14"/>
        <v>-36562.673000769748</v>
      </c>
      <c r="AC46" s="34">
        <f t="shared" si="14"/>
        <v>-28240.856658032819</v>
      </c>
      <c r="AD46" s="34">
        <f t="shared" si="14"/>
        <v>-19944.476629913683</v>
      </c>
      <c r="AE46" s="34">
        <f t="shared" si="14"/>
        <v>-11652.711586831807</v>
      </c>
      <c r="AF46" s="34">
        <f t="shared" si="14"/>
        <v>-3342.583707596059</v>
      </c>
      <c r="AG46" s="34">
        <f t="shared" si="14"/>
        <v>5011.3278560636682</v>
      </c>
      <c r="AH46" s="34">
        <f t="shared" si="14"/>
        <v>13437.211234531249</v>
      </c>
      <c r="AI46" s="34">
        <f t="shared" si="14"/>
        <v>21966.388663675636</v>
      </c>
      <c r="AJ46" s="34">
        <f t="shared" si="14"/>
        <v>30633.731359762314</v>
      </c>
      <c r="AK46" s="34">
        <f t="shared" si="14"/>
        <v>39478.128645757504</v>
      </c>
      <c r="AL46" s="34">
        <f>SUM(B46:M46)</f>
        <v>-125659.20623204096</v>
      </c>
      <c r="AM46" s="34">
        <f>SUM(N46:Y46)</f>
        <v>-295089.18151511805</v>
      </c>
      <c r="AN46" s="34">
        <f>SUM(Z46:AK46)</f>
        <v>-87501.963887822669</v>
      </c>
    </row>
    <row r="47" spans="1:41" s="37" customFormat="1" ht="15" customHeight="1" x14ac:dyDescent="0.2">
      <c r="A47" s="38" t="s">
        <v>176</v>
      </c>
      <c r="B47" s="34">
        <f>Assumptions!D73</f>
        <v>350000</v>
      </c>
      <c r="C47" s="34">
        <f>IF(2=Assumptions!D74,Assumptions!D75,0)</f>
        <v>0</v>
      </c>
      <c r="D47" s="34">
        <f>IF(3=Assumptions!D74,Assumptions!D75,0)</f>
        <v>0</v>
      </c>
      <c r="E47" s="34">
        <f>IF(4=Assumptions!D74,Assumptions!D75,0)</f>
        <v>0</v>
      </c>
      <c r="F47" s="34">
        <f>IF(5=Assumptions!D74,Assumptions!D75,0)</f>
        <v>0</v>
      </c>
      <c r="G47" s="34">
        <f>IF(6=Assumptions!D74,Assumptions!D75,0)</f>
        <v>0</v>
      </c>
      <c r="H47" s="34">
        <f>IF(7=Assumptions!D74,Assumptions!D75,0)</f>
        <v>0</v>
      </c>
      <c r="I47" s="34">
        <f>IF(8=Assumptions!D74,Assumptions!D75,0)</f>
        <v>0</v>
      </c>
      <c r="J47" s="34">
        <f>IF(9=Assumptions!D74,Assumptions!D75,0)</f>
        <v>0</v>
      </c>
      <c r="K47" s="34">
        <f>IF(10=Assumptions!D74,Assumptions!D75,0)</f>
        <v>0</v>
      </c>
      <c r="L47" s="34">
        <f>IF(11=Assumptions!D74,Assumptions!D75,0)</f>
        <v>0</v>
      </c>
      <c r="M47" s="34">
        <f>IF(12=Assumptions!D74,Assumptions!D75,0)</f>
        <v>0</v>
      </c>
      <c r="N47" s="34">
        <f>IF(13=Assumptions!D74,Assumptions!D75,0)</f>
        <v>3000000</v>
      </c>
      <c r="O47" s="34">
        <f>IF(14=Assumptions!D74,Assumptions!D75,0)</f>
        <v>0</v>
      </c>
      <c r="P47" s="34">
        <f>IF(15=Assumptions!D74,Assumptions!D75,0)</f>
        <v>0</v>
      </c>
      <c r="Q47" s="34">
        <f>IF(16=Assumptions!D74,Assumptions!D75,0)</f>
        <v>0</v>
      </c>
      <c r="R47" s="34">
        <f>IF(17=Assumptions!D74,Assumptions!D75,0)</f>
        <v>0</v>
      </c>
      <c r="S47" s="34">
        <f>IF(18=Assumptions!D74,Assumptions!D75,0)</f>
        <v>0</v>
      </c>
      <c r="T47" s="34">
        <f>IF(19=Assumptions!D74,Assumptions!D75,0)</f>
        <v>0</v>
      </c>
      <c r="U47" s="34">
        <f>IF(20=Assumptions!D74,Assumptions!D75,0)</f>
        <v>0</v>
      </c>
      <c r="V47" s="34">
        <f>IF(21=Assumptions!D74,Assumptions!D75,0)</f>
        <v>0</v>
      </c>
      <c r="W47" s="34">
        <f>IF(22=Assumptions!D74,Assumptions!D75,0)</f>
        <v>0</v>
      </c>
      <c r="X47" s="34">
        <f>IF(23=Assumptions!D74,Assumptions!D75,0)</f>
        <v>0</v>
      </c>
      <c r="Y47" s="34">
        <f>IF(24=Assumptions!D74,Assumptions!D75,0)</f>
        <v>0</v>
      </c>
      <c r="Z47" s="34">
        <f>IF(25=Assumptions!D74,Assumptions!D75,0)</f>
        <v>0</v>
      </c>
      <c r="AA47" s="34">
        <f>IF(26=Assumptions!D74,Assumptions!D75,0)</f>
        <v>0</v>
      </c>
      <c r="AB47" s="34">
        <f>IF(27=Assumptions!D74,Assumptions!D75,0)</f>
        <v>0</v>
      </c>
      <c r="AC47" s="34">
        <f>IF(28=Assumptions!D74,Assumptions!D75,0)</f>
        <v>0</v>
      </c>
      <c r="AD47" s="34">
        <f>IF(29=Assumptions!D74,Assumptions!D75,0)</f>
        <v>0</v>
      </c>
      <c r="AE47" s="34">
        <f>IF(30=Assumptions!D74,Assumptions!D75,0)</f>
        <v>0</v>
      </c>
      <c r="AF47" s="34">
        <f>IF(31=Assumptions!D74,Assumptions!D75,0)</f>
        <v>0</v>
      </c>
      <c r="AG47" s="34">
        <f>IF(32=Assumptions!D74,Assumptions!D75,0)</f>
        <v>0</v>
      </c>
      <c r="AH47" s="34">
        <f>IF(33=Assumptions!D74,Assumptions!D75,0)</f>
        <v>0</v>
      </c>
      <c r="AI47" s="34">
        <f>IF(34=Assumptions!D74,Assumptions!D75,0)</f>
        <v>0</v>
      </c>
      <c r="AJ47" s="34">
        <f>IF(35=Assumptions!D74,Assumptions!D75,0)</f>
        <v>0</v>
      </c>
      <c r="AK47" s="34">
        <f>IF(36=Assumptions!D74,Assumptions!D75,0)</f>
        <v>0</v>
      </c>
      <c r="AL47" s="34">
        <f>SUM(B47:M47)</f>
        <v>350000</v>
      </c>
      <c r="AM47" s="34">
        <f>SUM(N47:Y47)</f>
        <v>3000000</v>
      </c>
      <c r="AN47" s="34">
        <f>SUM(Z47:AK47)</f>
        <v>0</v>
      </c>
      <c r="AO47" s="37" t="s">
        <v>177</v>
      </c>
    </row>
    <row r="48" spans="1:41" s="37" customFormat="1" ht="15" customHeight="1" x14ac:dyDescent="0.2">
      <c r="A48" s="36" t="s">
        <v>178</v>
      </c>
      <c r="B48" s="35">
        <f>B46+B47</f>
        <v>346775.13949999999</v>
      </c>
      <c r="C48" s="35">
        <f t="shared" ref="C48:AK48" si="15">B48+C46+C47</f>
        <v>343579.22723750002</v>
      </c>
      <c r="D48" s="35">
        <f t="shared" si="15"/>
        <v>333757.52644977503</v>
      </c>
      <c r="E48" s="35">
        <f t="shared" si="15"/>
        <v>318242.41858968633</v>
      </c>
      <c r="F48" s="35">
        <f t="shared" si="15"/>
        <v>303783.71710592485</v>
      </c>
      <c r="G48" s="35">
        <f t="shared" si="15"/>
        <v>290376.97952296544</v>
      </c>
      <c r="H48" s="35">
        <f t="shared" si="15"/>
        <v>276079.32258155063</v>
      </c>
      <c r="I48" s="35">
        <f t="shared" si="15"/>
        <v>263163.43485867517</v>
      </c>
      <c r="J48" s="35">
        <f t="shared" si="15"/>
        <v>251575.6503426354</v>
      </c>
      <c r="K48" s="35">
        <f t="shared" si="15"/>
        <v>241268.86951665394</v>
      </c>
      <c r="L48" s="35">
        <f t="shared" si="15"/>
        <v>232202.22097978787</v>
      </c>
      <c r="M48" s="35">
        <f t="shared" si="15"/>
        <v>224340.79376795902</v>
      </c>
      <c r="N48" s="35">
        <f t="shared" si="15"/>
        <v>3179101.8712928775</v>
      </c>
      <c r="O48" s="35">
        <f t="shared" si="15"/>
        <v>3138037.039198773</v>
      </c>
      <c r="P48" s="35">
        <f t="shared" si="15"/>
        <v>3096158.1409125077</v>
      </c>
      <c r="Q48" s="35">
        <f t="shared" si="15"/>
        <v>3063375.4593547378</v>
      </c>
      <c r="R48" s="35">
        <f t="shared" si="15"/>
        <v>3034609.7440610765</v>
      </c>
      <c r="S48" s="35">
        <f t="shared" si="15"/>
        <v>3009792.0774026243</v>
      </c>
      <c r="T48" s="35">
        <f t="shared" si="15"/>
        <v>2988863.8548551481</v>
      </c>
      <c r="U48" s="35">
        <f t="shared" si="15"/>
        <v>2968776.8815434808</v>
      </c>
      <c r="V48" s="35">
        <f t="shared" si="15"/>
        <v>2952493.5889235209</v>
      </c>
      <c r="W48" s="35">
        <f t="shared" si="15"/>
        <v>2939987.3771741469</v>
      </c>
      <c r="X48" s="35">
        <f t="shared" si="15"/>
        <v>2931243.0906810421</v>
      </c>
      <c r="Y48" s="35">
        <f t="shared" si="15"/>
        <v>2929251.6122528408</v>
      </c>
      <c r="Z48" s="35">
        <f t="shared" si="15"/>
        <v>2875895.0057874359</v>
      </c>
      <c r="AA48" s="35">
        <f t="shared" si="15"/>
        <v>2830966.1621883716</v>
      </c>
      <c r="AB48" s="35">
        <f t="shared" si="15"/>
        <v>2794403.489187602</v>
      </c>
      <c r="AC48" s="35">
        <f t="shared" si="15"/>
        <v>2766162.6325295693</v>
      </c>
      <c r="AD48" s="35">
        <f t="shared" si="15"/>
        <v>2746218.1558996555</v>
      </c>
      <c r="AE48" s="35">
        <f t="shared" si="15"/>
        <v>2734565.4443128239</v>
      </c>
      <c r="AF48" s="35">
        <f t="shared" si="15"/>
        <v>2731222.8606052278</v>
      </c>
      <c r="AG48" s="35">
        <f t="shared" si="15"/>
        <v>2736234.1884612916</v>
      </c>
      <c r="AH48" s="35">
        <f t="shared" si="15"/>
        <v>2749671.399695823</v>
      </c>
      <c r="AI48" s="35">
        <f t="shared" si="15"/>
        <v>2771637.7883594986</v>
      </c>
      <c r="AJ48" s="35">
        <f t="shared" si="15"/>
        <v>2802271.5197192607</v>
      </c>
      <c r="AK48" s="35">
        <f t="shared" si="15"/>
        <v>2841749.6483650184</v>
      </c>
      <c r="AL48" s="35">
        <f>M48</f>
        <v>224340.79376795902</v>
      </c>
      <c r="AM48" s="35">
        <f>Y48</f>
        <v>2929251.6122528408</v>
      </c>
      <c r="AN48" s="35">
        <f>AK48</f>
        <v>2841749.6483650184</v>
      </c>
    </row>
    <row r="50" spans="1:41" ht="15" customHeight="1" x14ac:dyDescent="0.2">
      <c r="A50" s="6" t="s">
        <v>179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ht="15" customHeight="1" x14ac:dyDescent="0.2">
      <c r="A51" s="19" t="s">
        <v>180</v>
      </c>
      <c r="B51" s="24">
        <f>Assumptions!D4*(1-Assumptions!D41)/AVERAGE(N9:Y9)</f>
        <v>67.922866484286374</v>
      </c>
      <c r="AO51" t="s">
        <v>181</v>
      </c>
    </row>
    <row r="52" spans="1:41" ht="15" customHeight="1" x14ac:dyDescent="0.2">
      <c r="A52" s="19" t="s">
        <v>182</v>
      </c>
      <c r="B52" s="24">
        <f>Assumptions!D5*(1-Assumptions!D41)/Assumptions!D27</f>
        <v>315.47142857142853</v>
      </c>
    </row>
    <row r="53" spans="1:41" ht="15" customHeight="1" x14ac:dyDescent="0.2">
      <c r="A53" s="19" t="s">
        <v>183</v>
      </c>
      <c r="B53" s="24">
        <f>Assumptions!D15</f>
        <v>15</v>
      </c>
    </row>
    <row r="54" spans="1:41" ht="15" customHeight="1" x14ac:dyDescent="0.2">
      <c r="A54" s="19" t="s">
        <v>184</v>
      </c>
      <c r="B54" s="25">
        <f>IF(B53=0,0,B51/B53)</f>
        <v>4.5281910989524246</v>
      </c>
      <c r="AO54" t="s">
        <v>185</v>
      </c>
    </row>
    <row r="55" spans="1:41" ht="15" customHeight="1" x14ac:dyDescent="0.2">
      <c r="A55" s="9" t="s">
        <v>186</v>
      </c>
      <c r="B55" s="34">
        <f>IF(B53=0,0,B53/(Assumptions!D4*(1-Assumptions!D41)))</f>
        <v>3.5364847341742305</v>
      </c>
    </row>
    <row r="56" spans="1:41" ht="27.75" customHeight="1" x14ac:dyDescent="0.2">
      <c r="A56" s="9" t="s">
        <v>187</v>
      </c>
      <c r="B56" s="10">
        <v>4.2</v>
      </c>
    </row>
    <row r="57" spans="1:41" ht="15" customHeight="1" x14ac:dyDescent="0.2">
      <c r="A57" s="9" t="s">
        <v>188</v>
      </c>
      <c r="B57" s="27">
        <f>IF(B56=0,0,B52/B56)</f>
        <v>75.112244897959172</v>
      </c>
    </row>
  </sheetData>
  <mergeCells count="6">
    <mergeCell ref="A50:AO50"/>
    <mergeCell ref="A1:AM1"/>
    <mergeCell ref="A4:AO4"/>
    <mergeCell ref="A17:AO17"/>
    <mergeCell ref="A28:AO28"/>
    <mergeCell ref="A44:AO44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57"/>
  <sheetViews>
    <sheetView tabSelected="1" zoomScaleNormal="100" workbookViewId="0">
      <pane xSplit="1" ySplit="3" topLeftCell="X19" activePane="bottomRight" state="frozen"/>
      <selection pane="topRight" activeCell="B1" sqref="B1"/>
      <selection pane="bottomLeft" activeCell="A4" sqref="A4"/>
      <selection pane="bottomRight" activeCell="AB46" sqref="AB46"/>
    </sheetView>
  </sheetViews>
  <sheetFormatPr baseColWidth="10" defaultColWidth="8.6640625" defaultRowHeight="15" x14ac:dyDescent="0.2"/>
  <cols>
    <col min="1" max="1" width="55" customWidth="1"/>
    <col min="2" max="37" width="9" customWidth="1"/>
    <col min="38" max="40" width="12" customWidth="1"/>
    <col min="41" max="41" width="55" customWidth="1"/>
  </cols>
  <sheetData>
    <row r="1" spans="1:41" ht="15" customHeight="1" x14ac:dyDescent="0.2">
      <c r="A1" s="6" t="s">
        <v>190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spans="1:41" ht="15" customHeight="1" x14ac:dyDescent="0.2">
      <c r="A2" s="7" t="s">
        <v>80</v>
      </c>
      <c r="B2" s="7" t="s">
        <v>81</v>
      </c>
      <c r="C2" s="7" t="s">
        <v>82</v>
      </c>
      <c r="D2" s="7" t="s">
        <v>83</v>
      </c>
      <c r="E2" s="7" t="s">
        <v>84</v>
      </c>
      <c r="F2" s="7" t="s">
        <v>85</v>
      </c>
      <c r="G2" s="7" t="s">
        <v>86</v>
      </c>
      <c r="H2" s="7" t="s">
        <v>87</v>
      </c>
      <c r="I2" s="7" t="s">
        <v>88</v>
      </c>
      <c r="J2" s="7" t="s">
        <v>89</v>
      </c>
      <c r="K2" s="7" t="s">
        <v>90</v>
      </c>
      <c r="L2" s="7" t="s">
        <v>91</v>
      </c>
      <c r="M2" s="7" t="s">
        <v>92</v>
      </c>
      <c r="N2" s="7" t="s">
        <v>93</v>
      </c>
      <c r="O2" s="7" t="s">
        <v>94</v>
      </c>
      <c r="P2" s="7" t="s">
        <v>95</v>
      </c>
      <c r="Q2" s="7" t="s">
        <v>96</v>
      </c>
      <c r="R2" s="7" t="s">
        <v>97</v>
      </c>
      <c r="S2" s="7" t="s">
        <v>98</v>
      </c>
      <c r="T2" s="7" t="s">
        <v>99</v>
      </c>
      <c r="U2" s="7" t="s">
        <v>100</v>
      </c>
      <c r="V2" s="7" t="s">
        <v>101</v>
      </c>
      <c r="W2" s="7" t="s">
        <v>102</v>
      </c>
      <c r="X2" s="7" t="s">
        <v>103</v>
      </c>
      <c r="Y2" s="7" t="s">
        <v>104</v>
      </c>
      <c r="Z2" s="7" t="s">
        <v>105</v>
      </c>
      <c r="AA2" s="7" t="s">
        <v>106</v>
      </c>
      <c r="AB2" s="7" t="s">
        <v>107</v>
      </c>
      <c r="AC2" s="7" t="s">
        <v>108</v>
      </c>
      <c r="AD2" s="7" t="s">
        <v>109</v>
      </c>
      <c r="AE2" s="7" t="s">
        <v>110</v>
      </c>
      <c r="AF2" s="7" t="s">
        <v>111</v>
      </c>
      <c r="AG2" s="7" t="s">
        <v>112</v>
      </c>
      <c r="AH2" s="7" t="s">
        <v>113</v>
      </c>
      <c r="AI2" s="7" t="s">
        <v>114</v>
      </c>
      <c r="AJ2" s="7" t="s">
        <v>115</v>
      </c>
      <c r="AK2" s="7" t="s">
        <v>116</v>
      </c>
      <c r="AL2" s="7" t="s">
        <v>117</v>
      </c>
      <c r="AM2" s="7" t="s">
        <v>118</v>
      </c>
      <c r="AN2" s="7" t="s">
        <v>119</v>
      </c>
      <c r="AO2" s="7" t="s">
        <v>120</v>
      </c>
    </row>
    <row r="3" spans="1:41" ht="15" customHeight="1" x14ac:dyDescent="0.2">
      <c r="A3" s="15" t="s">
        <v>121</v>
      </c>
      <c r="B3" s="16">
        <v>1</v>
      </c>
      <c r="C3" s="16">
        <v>1</v>
      </c>
      <c r="D3" s="16">
        <v>1</v>
      </c>
      <c r="E3" s="16">
        <v>1</v>
      </c>
      <c r="F3" s="16">
        <v>1</v>
      </c>
      <c r="G3" s="16">
        <v>1</v>
      </c>
      <c r="H3" s="16">
        <v>1</v>
      </c>
      <c r="I3" s="16">
        <v>1</v>
      </c>
      <c r="J3" s="16">
        <v>1</v>
      </c>
      <c r="K3" s="16">
        <v>1</v>
      </c>
      <c r="L3" s="16">
        <v>1</v>
      </c>
      <c r="M3" s="16">
        <v>1</v>
      </c>
      <c r="N3" s="16">
        <v>2</v>
      </c>
      <c r="O3" s="16">
        <v>2</v>
      </c>
      <c r="P3" s="16">
        <v>2</v>
      </c>
      <c r="Q3" s="16">
        <v>2</v>
      </c>
      <c r="R3" s="16">
        <v>2</v>
      </c>
      <c r="S3" s="16">
        <v>2</v>
      </c>
      <c r="T3" s="16">
        <v>2</v>
      </c>
      <c r="U3" s="16">
        <v>2</v>
      </c>
      <c r="V3" s="16">
        <v>2</v>
      </c>
      <c r="W3" s="16">
        <v>2</v>
      </c>
      <c r="X3" s="16">
        <v>2</v>
      </c>
      <c r="Y3" s="16">
        <v>2</v>
      </c>
      <c r="Z3" s="16">
        <v>3</v>
      </c>
      <c r="AA3" s="16">
        <v>3</v>
      </c>
      <c r="AB3" s="16">
        <v>3</v>
      </c>
      <c r="AC3" s="16">
        <v>3</v>
      </c>
      <c r="AD3" s="16">
        <v>3</v>
      </c>
      <c r="AE3" s="16">
        <v>3</v>
      </c>
      <c r="AF3" s="16">
        <v>3</v>
      </c>
      <c r="AG3" s="16">
        <v>3</v>
      </c>
      <c r="AH3" s="16">
        <v>3</v>
      </c>
      <c r="AI3" s="16">
        <v>3</v>
      </c>
      <c r="AJ3" s="16">
        <v>3</v>
      </c>
      <c r="AK3" s="16">
        <v>3</v>
      </c>
    </row>
    <row r="4" spans="1:41" ht="15" customHeight="1" x14ac:dyDescent="0.2">
      <c r="A4" s="6" t="s">
        <v>122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ht="15" customHeight="1" x14ac:dyDescent="0.2">
      <c r="A5" s="9" t="s">
        <v>123</v>
      </c>
      <c r="B5" s="17">
        <f>Assumptions!E9</f>
        <v>300</v>
      </c>
      <c r="C5" s="17">
        <f>B5*(1+Assumptions!E10)</f>
        <v>348</v>
      </c>
      <c r="D5" s="17">
        <f>C5*(1+Assumptions!E10)</f>
        <v>403.67999999999995</v>
      </c>
      <c r="E5" s="17">
        <f>D5*(1+Assumptions!E10)</f>
        <v>468.26879999999989</v>
      </c>
      <c r="F5" s="17">
        <f>E5*(1+Assumptions!E10)</f>
        <v>543.19180799999981</v>
      </c>
      <c r="G5" s="17">
        <f>F5*(1+Assumptions!E10)</f>
        <v>630.10249727999974</v>
      </c>
      <c r="H5" s="17">
        <f>G5*(1+Assumptions!E10)</f>
        <v>730.91889684479963</v>
      </c>
      <c r="I5" s="17">
        <f>H5*(1+Assumptions!E10)</f>
        <v>847.86592033996749</v>
      </c>
      <c r="J5" s="17">
        <f>I5*(1+Assumptions!E10)</f>
        <v>983.52446759436225</v>
      </c>
      <c r="K5" s="17">
        <f>J5*(1+Assumptions!E10)</f>
        <v>1140.8883824094601</v>
      </c>
      <c r="L5" s="17">
        <f>K5*(1+Assumptions!E10)</f>
        <v>1323.4305235949737</v>
      </c>
      <c r="M5" s="17">
        <f>L5*(1+Assumptions!E10)</f>
        <v>1535.1794073701694</v>
      </c>
      <c r="N5" s="17">
        <f>M5*(1+Assumptions!E10)</f>
        <v>1780.8081125493964</v>
      </c>
      <c r="O5" s="17">
        <f>N5*(1+Assumptions!E10)</f>
        <v>2065.7374105572994</v>
      </c>
      <c r="P5" s="17">
        <f>O5*(1+Assumptions!E10)</f>
        <v>2396.2553962464672</v>
      </c>
      <c r="Q5" s="17">
        <f>P5*(1+Assumptions!E10)</f>
        <v>2779.6562596459016</v>
      </c>
      <c r="R5" s="17">
        <f>Q5*(1+Assumptions!E10)</f>
        <v>3224.4012611892458</v>
      </c>
      <c r="S5" s="17">
        <f>R5*(1+Assumptions!E10)</f>
        <v>3740.3054629795247</v>
      </c>
      <c r="T5" s="17">
        <f>S5*(1+Assumptions!E10)</f>
        <v>4338.754337056248</v>
      </c>
      <c r="U5" s="17">
        <f>T5*(1+Assumptions!E10)</f>
        <v>5032.9550309852475</v>
      </c>
      <c r="V5" s="17">
        <f>U5*(1+Assumptions!E10)</f>
        <v>5838.2278359428865</v>
      </c>
      <c r="W5" s="17">
        <f>V5*(1+Assumptions!E10)</f>
        <v>6772.3442896937477</v>
      </c>
      <c r="X5" s="17">
        <f>W5*(1+Assumptions!E10)</f>
        <v>7855.919376044747</v>
      </c>
      <c r="Y5" s="17">
        <f>X5*(1+Assumptions!E10)</f>
        <v>9112.866476211906</v>
      </c>
      <c r="Z5" s="17">
        <f>Y5*(1+Assumptions!E10)</f>
        <v>10570.92511240581</v>
      </c>
      <c r="AA5" s="17">
        <f>Z5*(1+Assumptions!E10)</f>
        <v>12262.273130390739</v>
      </c>
      <c r="AB5" s="17">
        <f>AA5*(1+Assumptions!E10)</f>
        <v>14224.236831253256</v>
      </c>
      <c r="AC5" s="17">
        <f>AB5*(1+Assumptions!E10)</f>
        <v>16500.114724253777</v>
      </c>
      <c r="AD5" s="17">
        <f>AC5*(1+Assumptions!E10)</f>
        <v>19140.133080134379</v>
      </c>
      <c r="AE5" s="17">
        <f>AD5*(1+Assumptions!E10)</f>
        <v>22202.554372955878</v>
      </c>
      <c r="AF5" s="17">
        <f>AE5*(1+Assumptions!E10)</f>
        <v>25754.963072628816</v>
      </c>
      <c r="AG5" s="17">
        <f>AF5*(1+Assumptions!E10)</f>
        <v>29875.757164249426</v>
      </c>
      <c r="AH5" s="17">
        <f>AG5*(1+Assumptions!E10)</f>
        <v>34655.878310529333</v>
      </c>
      <c r="AI5" s="17">
        <f>AH5*(1+Assumptions!E10)</f>
        <v>40200.818840214022</v>
      </c>
      <c r="AJ5" s="17">
        <f>AI5*(1+Assumptions!E10)</f>
        <v>46632.949854648265</v>
      </c>
      <c r="AK5" s="17">
        <f>AJ5*(1+Assumptions!E10)</f>
        <v>54094.22183139198</v>
      </c>
      <c r="AL5" s="17">
        <f>SUM(B5:M5)</f>
        <v>9255.0507034337315</v>
      </c>
      <c r="AM5" s="17">
        <f>SUM(N5:Y5)</f>
        <v>54938.231249102617</v>
      </c>
      <c r="AN5" s="17">
        <f>SUM(Z5:AK5)</f>
        <v>326114.82632505568</v>
      </c>
      <c r="AO5" t="s">
        <v>124</v>
      </c>
    </row>
    <row r="6" spans="1:41" ht="27.75" customHeight="1" x14ac:dyDescent="0.2">
      <c r="A6" s="9" t="s">
        <v>125</v>
      </c>
      <c r="B6" s="17">
        <f>B5*Assumptions!E11</f>
        <v>24</v>
      </c>
      <c r="C6" s="17">
        <f>C5*Assumptions!E11</f>
        <v>27.84</v>
      </c>
      <c r="D6" s="17">
        <f>D5*Assumptions!E11</f>
        <v>32.294399999999996</v>
      </c>
      <c r="E6" s="17">
        <f>E5*Assumptions!E11</f>
        <v>37.461503999999991</v>
      </c>
      <c r="F6" s="17">
        <f>F5*Assumptions!E11</f>
        <v>43.455344639999986</v>
      </c>
      <c r="G6" s="17">
        <f>G5*Assumptions!E11</f>
        <v>50.408199782399983</v>
      </c>
      <c r="H6" s="17">
        <f>H5*Assumptions!E11</f>
        <v>58.47351174758397</v>
      </c>
      <c r="I6" s="17">
        <f>I5*Assumptions!E11</f>
        <v>67.829273627197395</v>
      </c>
      <c r="J6" s="17">
        <f>J5*Assumptions!E11</f>
        <v>78.681957407548978</v>
      </c>
      <c r="K6" s="17">
        <f>K5*Assumptions!E11</f>
        <v>91.2710705927568</v>
      </c>
      <c r="L6" s="17">
        <f>L5*Assumptions!E11</f>
        <v>105.8744418875979</v>
      </c>
      <c r="M6" s="17">
        <f>M5*Assumptions!E11</f>
        <v>122.81435258961356</v>
      </c>
      <c r="N6" s="17">
        <f>N5*Assumptions!E11</f>
        <v>142.46464900395171</v>
      </c>
      <c r="O6" s="17">
        <f>O5*Assumptions!E11</f>
        <v>165.25899284458396</v>
      </c>
      <c r="P6" s="17">
        <f>P5*Assumptions!E11</f>
        <v>191.70043169971737</v>
      </c>
      <c r="Q6" s="17">
        <f>Q5*Assumptions!E11</f>
        <v>222.37250077167212</v>
      </c>
      <c r="R6" s="17">
        <f>R5*Assumptions!E11</f>
        <v>257.95210089513967</v>
      </c>
      <c r="S6" s="17">
        <f>S5*Assumptions!E11</f>
        <v>299.224437038362</v>
      </c>
      <c r="T6" s="17">
        <f>T5*Assumptions!E11</f>
        <v>347.10034696449986</v>
      </c>
      <c r="U6" s="17">
        <f>U5*Assumptions!E11</f>
        <v>402.63640247881983</v>
      </c>
      <c r="V6" s="17">
        <f>V5*Assumptions!E11</f>
        <v>467.05822687543093</v>
      </c>
      <c r="W6" s="17">
        <f>W5*Assumptions!E11</f>
        <v>541.78754317549988</v>
      </c>
      <c r="X6" s="17">
        <f>X5*Assumptions!E11</f>
        <v>628.47355008357977</v>
      </c>
      <c r="Y6" s="17">
        <f>Y5*Assumptions!E11</f>
        <v>729.02931809695247</v>
      </c>
      <c r="Z6" s="17">
        <f>Z5*Assumptions!E11</f>
        <v>845.67400899246479</v>
      </c>
      <c r="AA6" s="17">
        <f>AA5*Assumptions!E11</f>
        <v>980.98185043125909</v>
      </c>
      <c r="AB6" s="17">
        <f>AB5*Assumptions!E11</f>
        <v>1137.9389465002605</v>
      </c>
      <c r="AC6" s="17">
        <f>AC5*Assumptions!E11</f>
        <v>1320.0091779403022</v>
      </c>
      <c r="AD6" s="17">
        <f>AD5*Assumptions!E11</f>
        <v>1531.2106464107503</v>
      </c>
      <c r="AE6" s="17">
        <f>AE5*Assumptions!E11</f>
        <v>1776.2043498364703</v>
      </c>
      <c r="AF6" s="17">
        <f>AF5*Assumptions!E11</f>
        <v>2060.3970458103054</v>
      </c>
      <c r="AG6" s="17">
        <f>AG5*Assumptions!E11</f>
        <v>2390.0605731399542</v>
      </c>
      <c r="AH6" s="17">
        <f>AH5*Assumptions!E11</f>
        <v>2772.4702648423468</v>
      </c>
      <c r="AI6" s="17">
        <f>AI5*Assumptions!E11</f>
        <v>3216.0655072171216</v>
      </c>
      <c r="AJ6" s="17">
        <f>AJ5*Assumptions!E11</f>
        <v>3730.6359883718615</v>
      </c>
      <c r="AK6" s="17">
        <f>AK5*Assumptions!E11</f>
        <v>4327.5377465113588</v>
      </c>
      <c r="AL6" s="17">
        <f>SUM(B6:M6)</f>
        <v>740.40405627469852</v>
      </c>
      <c r="AM6" s="17">
        <f>SUM(N6:Y6)</f>
        <v>4395.0584999282091</v>
      </c>
      <c r="AN6" s="17">
        <f>SUM(Z6:AK6)</f>
        <v>26089.186106004454</v>
      </c>
      <c r="AO6" t="s">
        <v>126</v>
      </c>
    </row>
    <row r="7" spans="1:41" ht="15" customHeight="1" x14ac:dyDescent="0.2">
      <c r="A7" s="9" t="s">
        <v>127</v>
      </c>
      <c r="B7" s="17">
        <f>0</f>
        <v>0</v>
      </c>
      <c r="C7" s="17">
        <f>0</f>
        <v>0</v>
      </c>
      <c r="D7" s="17">
        <f>0</f>
        <v>0</v>
      </c>
      <c r="E7" s="17">
        <f>Assumptions!E12/Assumptions!E15</f>
        <v>416.66666666666669</v>
      </c>
      <c r="F7" s="17">
        <f>Assumptions!E12/Assumptions!E15</f>
        <v>416.66666666666669</v>
      </c>
      <c r="G7" s="17">
        <f>Assumptions!E12/Assumptions!E15</f>
        <v>416.66666666666669</v>
      </c>
      <c r="H7" s="17">
        <f>Assumptions!E12/Assumptions!E15</f>
        <v>416.66666666666669</v>
      </c>
      <c r="I7" s="17">
        <f>Assumptions!E12/Assumptions!E15</f>
        <v>416.66666666666669</v>
      </c>
      <c r="J7" s="17">
        <f>Assumptions!E12/Assumptions!E15</f>
        <v>416.66666666666669</v>
      </c>
      <c r="K7" s="17">
        <f>Assumptions!E12/Assumptions!E15</f>
        <v>416.66666666666669</v>
      </c>
      <c r="L7" s="17">
        <f>Assumptions!E12/Assumptions!E15</f>
        <v>416.66666666666669</v>
      </c>
      <c r="M7" s="17">
        <f>Assumptions!E12/Assumptions!E15</f>
        <v>416.66666666666669</v>
      </c>
      <c r="N7" s="17">
        <f>Assumptions!E13/Assumptions!E16</f>
        <v>1285.7142857142858</v>
      </c>
      <c r="O7" s="17">
        <f>Assumptions!E13/Assumptions!E16</f>
        <v>1285.7142857142858</v>
      </c>
      <c r="P7" s="17">
        <f>Assumptions!E13/Assumptions!E16</f>
        <v>1285.7142857142858</v>
      </c>
      <c r="Q7" s="17">
        <f>Assumptions!E13/Assumptions!E16</f>
        <v>1285.7142857142858</v>
      </c>
      <c r="R7" s="17">
        <f>Assumptions!E13/Assumptions!E16</f>
        <v>1285.7142857142858</v>
      </c>
      <c r="S7" s="17">
        <f>Assumptions!E13/Assumptions!E16</f>
        <v>1285.7142857142858</v>
      </c>
      <c r="T7" s="17">
        <f>Assumptions!E13/Assumptions!E16</f>
        <v>1285.7142857142858</v>
      </c>
      <c r="U7" s="17">
        <f>Assumptions!E13/Assumptions!E16</f>
        <v>1285.7142857142858</v>
      </c>
      <c r="V7" s="17">
        <f>Assumptions!E13/Assumptions!E16</f>
        <v>1285.7142857142858</v>
      </c>
      <c r="W7" s="17">
        <f>Assumptions!E13/Assumptions!E16</f>
        <v>1285.7142857142858</v>
      </c>
      <c r="X7" s="17">
        <f>Assumptions!E13/Assumptions!E16</f>
        <v>1285.7142857142858</v>
      </c>
      <c r="Y7" s="17">
        <f>Assumptions!E13/Assumptions!E16</f>
        <v>1285.7142857142858</v>
      </c>
      <c r="Z7" s="17">
        <f>Assumptions!E14/Assumptions!E16</f>
        <v>2500</v>
      </c>
      <c r="AA7" s="17">
        <f>Assumptions!E14/Assumptions!E16</f>
        <v>2500</v>
      </c>
      <c r="AB7" s="17">
        <f>Assumptions!E14/Assumptions!E16</f>
        <v>2500</v>
      </c>
      <c r="AC7" s="17">
        <f>Assumptions!E14/Assumptions!E16</f>
        <v>2500</v>
      </c>
      <c r="AD7" s="17">
        <f>Assumptions!E14/Assumptions!E16</f>
        <v>2500</v>
      </c>
      <c r="AE7" s="17">
        <f>Assumptions!E14/Assumptions!E16</f>
        <v>2500</v>
      </c>
      <c r="AF7" s="17">
        <f>Assumptions!E14/Assumptions!E16</f>
        <v>2500</v>
      </c>
      <c r="AG7" s="17">
        <f>Assumptions!E14/Assumptions!E16</f>
        <v>2500</v>
      </c>
      <c r="AH7" s="17">
        <f>Assumptions!E14/Assumptions!E16</f>
        <v>2500</v>
      </c>
      <c r="AI7" s="17">
        <f>Assumptions!E14/Assumptions!E16</f>
        <v>2500</v>
      </c>
      <c r="AJ7" s="17">
        <f>Assumptions!E14/Assumptions!E16</f>
        <v>2500</v>
      </c>
      <c r="AK7" s="17">
        <f>Assumptions!E14/Assumptions!E16</f>
        <v>2500</v>
      </c>
      <c r="AL7" s="17">
        <f>SUM(B7:M7)</f>
        <v>3749.9999999999995</v>
      </c>
      <c r="AM7" s="17">
        <f>SUM(N7:Y7)</f>
        <v>15428.571428571433</v>
      </c>
      <c r="AN7" s="17">
        <f>SUM(Z7:AK7)</f>
        <v>30000</v>
      </c>
      <c r="AO7" t="s">
        <v>128</v>
      </c>
    </row>
    <row r="8" spans="1:41" ht="15" customHeight="1" x14ac:dyDescent="0.2">
      <c r="A8" s="9" t="s">
        <v>129</v>
      </c>
      <c r="B8" s="18">
        <f>0</f>
        <v>0</v>
      </c>
      <c r="C8" s="18">
        <f>0</f>
        <v>0</v>
      </c>
      <c r="D8" s="18">
        <f>0</f>
        <v>0</v>
      </c>
      <c r="E8" s="18">
        <f>MIN(Assumptions!E22,1*Assumptions!E21)</f>
        <v>2.5000000000000001E-2</v>
      </c>
      <c r="F8" s="18">
        <f>MIN(Assumptions!E22,2*Assumptions!E21)</f>
        <v>0.05</v>
      </c>
      <c r="G8" s="18">
        <f>MIN(Assumptions!E22,3*Assumptions!E21)</f>
        <v>7.5000000000000011E-2</v>
      </c>
      <c r="H8" s="18">
        <f>MIN(Assumptions!E22,4*Assumptions!E21)</f>
        <v>0.1</v>
      </c>
      <c r="I8" s="18">
        <f>MIN(Assumptions!E22,5*Assumptions!E21)</f>
        <v>0.125</v>
      </c>
      <c r="J8" s="18">
        <f>MIN(Assumptions!E22,6*Assumptions!E21)</f>
        <v>0.15000000000000002</v>
      </c>
      <c r="K8" s="18">
        <f>MIN(Assumptions!E22,7*Assumptions!E21)</f>
        <v>0.17500000000000002</v>
      </c>
      <c r="L8" s="18">
        <f>MIN(Assumptions!E22,8*Assumptions!E21)</f>
        <v>0.2</v>
      </c>
      <c r="M8" s="18">
        <f>MIN(Assumptions!E22,9*Assumptions!E21)</f>
        <v>0.22500000000000001</v>
      </c>
      <c r="N8" s="18">
        <f>MIN(Assumptions!E22,10*Assumptions!E21)</f>
        <v>0.25</v>
      </c>
      <c r="O8" s="18">
        <f>MIN(Assumptions!E22,11*Assumptions!E21)</f>
        <v>0.27500000000000002</v>
      </c>
      <c r="P8" s="18">
        <f>MIN(Assumptions!E22,12*Assumptions!E21)</f>
        <v>0.30000000000000004</v>
      </c>
      <c r="Q8" s="18">
        <f>MIN(Assumptions!E22,13*Assumptions!E21)</f>
        <v>0.32500000000000001</v>
      </c>
      <c r="R8" s="18">
        <f>MIN(Assumptions!E22,14*Assumptions!E21)</f>
        <v>0.35000000000000003</v>
      </c>
      <c r="S8" s="18">
        <f>MIN(Assumptions!E22,15*Assumptions!E21)</f>
        <v>0.375</v>
      </c>
      <c r="T8" s="18">
        <f>MIN(Assumptions!E22,16*Assumptions!E21)</f>
        <v>0.4</v>
      </c>
      <c r="U8" s="18">
        <f>MIN(Assumptions!E22,17*Assumptions!E21)</f>
        <v>0.42500000000000004</v>
      </c>
      <c r="V8" s="18">
        <f>MIN(Assumptions!E22,18*Assumptions!E21)</f>
        <v>0.45</v>
      </c>
      <c r="W8" s="18">
        <f>MIN(Assumptions!E22,19*Assumptions!E21)</f>
        <v>0.47500000000000003</v>
      </c>
      <c r="X8" s="18">
        <f>MIN(Assumptions!E22,20*Assumptions!E21)</f>
        <v>0.5</v>
      </c>
      <c r="Y8" s="18">
        <f>MIN(Assumptions!E22,21*Assumptions!E21)</f>
        <v>0.5</v>
      </c>
      <c r="Z8" s="18">
        <f>MIN(Assumptions!E22,22*Assumptions!E21)</f>
        <v>0.5</v>
      </c>
      <c r="AA8" s="18">
        <f>MIN(Assumptions!E22,23*Assumptions!E21)</f>
        <v>0.5</v>
      </c>
      <c r="AB8" s="18">
        <f>MIN(Assumptions!E22,24*Assumptions!E21)</f>
        <v>0.5</v>
      </c>
      <c r="AC8" s="18">
        <f>MIN(Assumptions!E22,25*Assumptions!E21)</f>
        <v>0.5</v>
      </c>
      <c r="AD8" s="18">
        <f>MIN(Assumptions!E22,26*Assumptions!E21)</f>
        <v>0.5</v>
      </c>
      <c r="AE8" s="18">
        <f>MIN(Assumptions!E22,27*Assumptions!E21)</f>
        <v>0.5</v>
      </c>
      <c r="AF8" s="18">
        <f>MIN(Assumptions!E22,28*Assumptions!E21)</f>
        <v>0.5</v>
      </c>
      <c r="AG8" s="18">
        <f>MIN(Assumptions!E22,29*Assumptions!E21)</f>
        <v>0.5</v>
      </c>
      <c r="AH8" s="18">
        <f>MIN(Assumptions!E22,30*Assumptions!E21)</f>
        <v>0.5</v>
      </c>
      <c r="AI8" s="18">
        <f>MIN(Assumptions!E22,31*Assumptions!E21)</f>
        <v>0.5</v>
      </c>
      <c r="AJ8" s="18">
        <f>MIN(Assumptions!E22,32*Assumptions!E21)</f>
        <v>0.5</v>
      </c>
      <c r="AK8" s="18">
        <f>MIN(Assumptions!E22,33*Assumptions!E21)</f>
        <v>0.5</v>
      </c>
      <c r="AL8" s="18">
        <f>M8</f>
        <v>0.22500000000000001</v>
      </c>
      <c r="AM8" s="18">
        <f>Y8</f>
        <v>0.5</v>
      </c>
      <c r="AN8" s="18">
        <f>AK8</f>
        <v>0.5</v>
      </c>
      <c r="AO8" t="s">
        <v>130</v>
      </c>
    </row>
    <row r="9" spans="1:41" ht="15" customHeight="1" x14ac:dyDescent="0.2">
      <c r="A9" s="9" t="s">
        <v>131</v>
      </c>
      <c r="B9" s="18">
        <f>Assumptions!E18*(1-B8*Assumptions!E23)</f>
        <v>7.0000000000000007E-2</v>
      </c>
      <c r="C9" s="18">
        <f>Assumptions!E18*(1-C8*Assumptions!E23)</f>
        <v>7.0000000000000007E-2</v>
      </c>
      <c r="D9" s="18">
        <f>Assumptions!E18*(1-D8*Assumptions!E23)</f>
        <v>7.0000000000000007E-2</v>
      </c>
      <c r="E9" s="18">
        <f>Assumptions!E18*(1-E8*Assumptions!E23)</f>
        <v>6.93E-2</v>
      </c>
      <c r="F9" s="18">
        <f>Assumptions!E18*(1-F8*Assumptions!E23)</f>
        <v>6.8600000000000008E-2</v>
      </c>
      <c r="G9" s="18">
        <f>Assumptions!E18*(1-G8*Assumptions!E23)</f>
        <v>6.7900000000000002E-2</v>
      </c>
      <c r="H9" s="18">
        <f>Assumptions!E18*(1-H8*Assumptions!E23)</f>
        <v>6.720000000000001E-2</v>
      </c>
      <c r="I9" s="18">
        <f>Assumptions!E18*(1-I8*Assumptions!E23)</f>
        <v>6.6500000000000004E-2</v>
      </c>
      <c r="J9" s="18">
        <f>Assumptions!E18*(1-J8*Assumptions!E23)</f>
        <v>6.5799999999999997E-2</v>
      </c>
      <c r="K9" s="18">
        <f>Assumptions!E18*(1-K8*Assumptions!E23)</f>
        <v>6.5100000000000005E-2</v>
      </c>
      <c r="L9" s="18">
        <f>Assumptions!E18*(1-L8*Assumptions!E23)</f>
        <v>6.4399999999999999E-2</v>
      </c>
      <c r="M9" s="18">
        <f>Assumptions!E18*(1-M8*Assumptions!E23)</f>
        <v>6.3700000000000007E-2</v>
      </c>
      <c r="N9" s="18">
        <f>Assumptions!E19*(1-N8*Assumptions!E23)</f>
        <v>5.3999999999999999E-2</v>
      </c>
      <c r="O9" s="18">
        <f>Assumptions!E19*(1-O8*Assumptions!E23)</f>
        <v>5.3399999999999996E-2</v>
      </c>
      <c r="P9" s="18">
        <f>Assumptions!E19*(1-P8*Assumptions!E23)</f>
        <v>5.28E-2</v>
      </c>
      <c r="Q9" s="18">
        <f>Assumptions!E19*(1-Q8*Assumptions!E23)</f>
        <v>5.2199999999999996E-2</v>
      </c>
      <c r="R9" s="18">
        <f>Assumptions!E19*(1-R8*Assumptions!E23)</f>
        <v>5.16E-2</v>
      </c>
      <c r="S9" s="18">
        <f>Assumptions!E19*(1-S8*Assumptions!E23)</f>
        <v>5.0999999999999997E-2</v>
      </c>
      <c r="T9" s="18">
        <f>Assumptions!E19*(1-T8*Assumptions!E23)</f>
        <v>5.0399999999999993E-2</v>
      </c>
      <c r="U9" s="18">
        <f>Assumptions!E19*(1-U8*Assumptions!E23)</f>
        <v>4.9799999999999997E-2</v>
      </c>
      <c r="V9" s="18">
        <f>Assumptions!E19*(1-V8*Assumptions!E23)</f>
        <v>4.9199999999999994E-2</v>
      </c>
      <c r="W9" s="18">
        <f>Assumptions!E19*(1-W8*Assumptions!E23)</f>
        <v>4.8599999999999997E-2</v>
      </c>
      <c r="X9" s="18">
        <f>Assumptions!E19*(1-X8*Assumptions!E23)</f>
        <v>4.8000000000000001E-2</v>
      </c>
      <c r="Y9" s="18">
        <f>Assumptions!E19*(1-Y8*Assumptions!E23)</f>
        <v>4.8000000000000001E-2</v>
      </c>
      <c r="Z9" s="18">
        <f>Assumptions!E20*(1-Z8*Assumptions!E23)</f>
        <v>4.0000000000000008E-2</v>
      </c>
      <c r="AA9" s="18">
        <f>Assumptions!E20*(1-AA8*Assumptions!E23)</f>
        <v>4.0000000000000008E-2</v>
      </c>
      <c r="AB9" s="18">
        <f>Assumptions!E20*(1-AB8*Assumptions!E23)</f>
        <v>4.0000000000000008E-2</v>
      </c>
      <c r="AC9" s="18">
        <f>Assumptions!E20*(1-AC8*Assumptions!E23)</f>
        <v>4.0000000000000008E-2</v>
      </c>
      <c r="AD9" s="18">
        <f>Assumptions!E20*(1-AD8*Assumptions!E23)</f>
        <v>4.0000000000000008E-2</v>
      </c>
      <c r="AE9" s="18">
        <f>Assumptions!E20*(1-AE8*Assumptions!E23)</f>
        <v>4.0000000000000008E-2</v>
      </c>
      <c r="AF9" s="18">
        <f>Assumptions!E20*(1-AF8*Assumptions!E23)</f>
        <v>4.0000000000000008E-2</v>
      </c>
      <c r="AG9" s="18">
        <f>Assumptions!E20*(1-AG8*Assumptions!E23)</f>
        <v>4.0000000000000008E-2</v>
      </c>
      <c r="AH9" s="18">
        <f>Assumptions!E20*(1-AH8*Assumptions!E23)</f>
        <v>4.0000000000000008E-2</v>
      </c>
      <c r="AI9" s="18">
        <f>Assumptions!E20*(1-AI8*Assumptions!E23)</f>
        <v>4.0000000000000008E-2</v>
      </c>
      <c r="AJ9" s="18">
        <f>Assumptions!E20*(1-AJ8*Assumptions!E23)</f>
        <v>4.0000000000000008E-2</v>
      </c>
      <c r="AK9" s="18">
        <f>Assumptions!E20*(1-AK8*Assumptions!E23)</f>
        <v>4.0000000000000008E-2</v>
      </c>
      <c r="AL9" s="18">
        <f>AVERAGE(B9:M9)</f>
        <v>6.7375000000000004E-2</v>
      </c>
      <c r="AM9" s="18">
        <f>AVERAGE(N9:Y9)</f>
        <v>5.075000000000001E-2</v>
      </c>
      <c r="AN9" s="18">
        <f>AVERAGE(Z9:AK9)</f>
        <v>4.0000000000000015E-2</v>
      </c>
      <c r="AO9" t="s">
        <v>132</v>
      </c>
    </row>
    <row r="10" spans="1:41" ht="15" customHeight="1" x14ac:dyDescent="0.2">
      <c r="A10" s="9" t="s">
        <v>133</v>
      </c>
      <c r="B10" s="17">
        <f>0</f>
        <v>0</v>
      </c>
      <c r="C10" s="17">
        <f>0</f>
        <v>0</v>
      </c>
      <c r="D10" s="17">
        <f>0</f>
        <v>0</v>
      </c>
      <c r="E10" s="17">
        <f>0</f>
        <v>0</v>
      </c>
      <c r="F10" s="17">
        <f>0</f>
        <v>0</v>
      </c>
      <c r="G10" s="17">
        <f>0</f>
        <v>0</v>
      </c>
      <c r="H10" s="17">
        <f>0</f>
        <v>0</v>
      </c>
      <c r="I10" s="17">
        <f>0</f>
        <v>0</v>
      </c>
      <c r="J10" s="17">
        <f>0</f>
        <v>0</v>
      </c>
      <c r="K10" s="17">
        <f>0</f>
        <v>0</v>
      </c>
      <c r="L10" s="17">
        <f>0</f>
        <v>0</v>
      </c>
      <c r="M10" s="17">
        <f>L11*Assumptions!E26</f>
        <v>47.292004386235966</v>
      </c>
      <c r="N10" s="17">
        <f>M11*Assumptions!E26</f>
        <v>51.662338929883397</v>
      </c>
      <c r="O10" s="17">
        <f>N11*Assumptions!E26</f>
        <v>69.520321564494992</v>
      </c>
      <c r="P10" s="17">
        <f>O11*Assumptions!E26</f>
        <v>86.529730747866594</v>
      </c>
      <c r="Q10" s="17">
        <f>P11*Assumptions!E26</f>
        <v>102.82423576437129</v>
      </c>
      <c r="R10" s="17">
        <f>Q11*Assumptions!E26</f>
        <v>118.5357489182949</v>
      </c>
      <c r="S10" s="17">
        <f>R11*Assumptions!E26</f>
        <v>133.79626383947783</v>
      </c>
      <c r="T10" s="17">
        <f>S11*Assumptions!E26</f>
        <v>148.73979126736199</v>
      </c>
      <c r="U10" s="17">
        <f>T11*Assumptions!E26</f>
        <v>163.5044284086583</v>
      </c>
      <c r="V10" s="17">
        <f>U11*Assumptions!E26</f>
        <v>178.23460177067386</v>
      </c>
      <c r="W10" s="17">
        <f>V11*Assumptions!E26</f>
        <v>193.08352802584236</v>
      </c>
      <c r="X10" s="17">
        <f>W11*Assumptions!E26</f>
        <v>208.21594307674559</v>
      </c>
      <c r="Y10" s="17">
        <f>X11*Assumptions!E26</f>
        <v>223.81115619987861</v>
      </c>
      <c r="Z10" s="17">
        <f>Y11*Assumptions!E26</f>
        <v>239.93220741645482</v>
      </c>
      <c r="AA10" s="17">
        <f>Z11*Assumptions!E26</f>
        <v>276.92104614343674</v>
      </c>
      <c r="AB10" s="17">
        <f>AA11*Assumptions!E26</f>
        <v>313.9051163620166</v>
      </c>
      <c r="AC10" s="17">
        <f>AB11*Assumptions!E26</f>
        <v>351.20941915960958</v>
      </c>
      <c r="AD10" s="17">
        <f>AC11*Assumptions!E26</f>
        <v>389.19303877493559</v>
      </c>
      <c r="AE10" s="17">
        <f>AD11*Assumptions!E26</f>
        <v>428.25558133847539</v>
      </c>
      <c r="AF10" s="17">
        <f>AE11*Assumptions!E26</f>
        <v>468.84458961240625</v>
      </c>
      <c r="AG10" s="17">
        <f>AF11*Assumptions!E26</f>
        <v>511.4640928708784</v>
      </c>
      <c r="AH10" s="17">
        <f>AG11*Assumptions!E26</f>
        <v>556.68447636007932</v>
      </c>
      <c r="AI10" s="17">
        <f>AH11*Assumptions!E26</f>
        <v>605.15388413291009</v>
      </c>
      <c r="AJ10" s="17">
        <f>AI11*Assumptions!E26</f>
        <v>657.6114031138568</v>
      </c>
      <c r="AK10" s="17">
        <f>AJ11*Assumptions!E26</f>
        <v>714.90231576817257</v>
      </c>
      <c r="AL10" s="17">
        <f>SUM(B10:M10)</f>
        <v>47.292004386235966</v>
      </c>
      <c r="AM10" s="17">
        <f>SUM(N10:Y10)</f>
        <v>1678.4580885135497</v>
      </c>
      <c r="AN10" s="17">
        <f>SUM(Z10:AK10)</f>
        <v>5514.0771710532317</v>
      </c>
      <c r="AO10" t="s">
        <v>134</v>
      </c>
    </row>
    <row r="11" spans="1:41" ht="15" customHeight="1" x14ac:dyDescent="0.2">
      <c r="A11" s="19" t="s">
        <v>135</v>
      </c>
      <c r="B11" s="17">
        <f>B6+B7</f>
        <v>24</v>
      </c>
      <c r="C11" s="17">
        <f t="shared" ref="C11:AK11" si="0">B11*(1-C9)-C10+C6+C7</f>
        <v>50.16</v>
      </c>
      <c r="D11" s="17">
        <f t="shared" si="0"/>
        <v>78.94319999999999</v>
      </c>
      <c r="E11" s="17">
        <f t="shared" si="0"/>
        <v>527.60060690666671</v>
      </c>
      <c r="F11" s="17">
        <f t="shared" si="0"/>
        <v>951.52921657953607</v>
      </c>
      <c r="G11" s="17">
        <f t="shared" si="0"/>
        <v>1353.9952492228522</v>
      </c>
      <c r="H11" s="17">
        <f t="shared" si="0"/>
        <v>1738.1469468893272</v>
      </c>
      <c r="I11" s="17">
        <f t="shared" si="0"/>
        <v>2107.0561152150508</v>
      </c>
      <c r="J11" s="17">
        <f t="shared" si="0"/>
        <v>2463.7604469081161</v>
      </c>
      <c r="K11" s="17">
        <f t="shared" si="0"/>
        <v>2811.3073790738208</v>
      </c>
      <c r="L11" s="17">
        <f t="shared" si="0"/>
        <v>3152.8002924157313</v>
      </c>
      <c r="M11" s="17">
        <f t="shared" si="0"/>
        <v>3444.1559286588931</v>
      </c>
      <c r="N11" s="17">
        <f t="shared" si="0"/>
        <v>4634.6881042996665</v>
      </c>
      <c r="O11" s="17">
        <f t="shared" si="0"/>
        <v>5768.6487165244398</v>
      </c>
      <c r="P11" s="17">
        <f t="shared" si="0"/>
        <v>6854.9490509580864</v>
      </c>
      <c r="Q11" s="17">
        <f t="shared" si="0"/>
        <v>7902.3832612196602</v>
      </c>
      <c r="R11" s="17">
        <f t="shared" si="0"/>
        <v>8919.7509226318562</v>
      </c>
      <c r="S11" s="17">
        <f t="shared" si="0"/>
        <v>9915.9860844907998</v>
      </c>
      <c r="T11" s="17">
        <f t="shared" si="0"/>
        <v>10900.295227243887</v>
      </c>
      <c r="U11" s="17">
        <f t="shared" si="0"/>
        <v>11882.306784711591</v>
      </c>
      <c r="V11" s="17">
        <f t="shared" si="0"/>
        <v>12872.235201722824</v>
      </c>
      <c r="W11" s="17">
        <f t="shared" si="0"/>
        <v>13881.06287178304</v>
      </c>
      <c r="X11" s="17">
        <f t="shared" si="0"/>
        <v>14920.743746658574</v>
      </c>
      <c r="Y11" s="17">
        <f t="shared" si="0"/>
        <v>15995.480494430321</v>
      </c>
      <c r="Z11" s="17">
        <f t="shared" si="0"/>
        <v>18461.403076229115</v>
      </c>
      <c r="AA11" s="17">
        <f t="shared" si="0"/>
        <v>20927.007757467774</v>
      </c>
      <c r="AB11" s="17">
        <f t="shared" si="0"/>
        <v>23413.961277307306</v>
      </c>
      <c r="AC11" s="17">
        <f t="shared" si="0"/>
        <v>25946.202584995706</v>
      </c>
      <c r="AD11" s="17">
        <f t="shared" si="0"/>
        <v>28550.372089231692</v>
      </c>
      <c r="AE11" s="17">
        <f t="shared" si="0"/>
        <v>31256.305974160419</v>
      </c>
      <c r="AF11" s="17">
        <f t="shared" si="0"/>
        <v>34097.606191391897</v>
      </c>
      <c r="AG11" s="17">
        <f t="shared" si="0"/>
        <v>37112.29842400529</v>
      </c>
      <c r="AH11" s="17">
        <f t="shared" si="0"/>
        <v>40343.592275527342</v>
      </c>
      <c r="AI11" s="17">
        <f t="shared" si="0"/>
        <v>43840.760207590458</v>
      </c>
      <c r="AJ11" s="17">
        <f t="shared" si="0"/>
        <v>47660.15438454484</v>
      </c>
      <c r="AK11" s="17">
        <f t="shared" si="0"/>
        <v>51866.383639906227</v>
      </c>
      <c r="AL11" s="17">
        <f>M11</f>
        <v>3444.1559286588931</v>
      </c>
      <c r="AM11" s="17">
        <f>Y11</f>
        <v>15995.480494430321</v>
      </c>
      <c r="AN11" s="17">
        <f>AK11</f>
        <v>51866.383639906227</v>
      </c>
      <c r="AO11" t="s">
        <v>136</v>
      </c>
    </row>
    <row r="12" spans="1:41" ht="27.75" customHeight="1" x14ac:dyDescent="0.2">
      <c r="A12" s="19" t="s">
        <v>137</v>
      </c>
      <c r="B12" s="17">
        <f>0</f>
        <v>0</v>
      </c>
      <c r="C12" s="17">
        <f>0</f>
        <v>0</v>
      </c>
      <c r="D12" s="17">
        <f>0</f>
        <v>0</v>
      </c>
      <c r="E12" s="17">
        <f>0</f>
        <v>0</v>
      </c>
      <c r="F12" s="17">
        <f>0</f>
        <v>0</v>
      </c>
      <c r="G12" s="17">
        <f>0</f>
        <v>0</v>
      </c>
      <c r="H12" s="17">
        <f>0</f>
        <v>0</v>
      </c>
      <c r="I12" s="17">
        <f>0</f>
        <v>0</v>
      </c>
      <c r="J12" s="17">
        <f>0</f>
        <v>0</v>
      </c>
      <c r="K12" s="17">
        <f>0</f>
        <v>0</v>
      </c>
      <c r="L12" s="17">
        <f>0</f>
        <v>0</v>
      </c>
      <c r="M12" s="17">
        <f>M10</f>
        <v>47.292004386235966</v>
      </c>
      <c r="N12" s="17">
        <f>M12*(1-Assumptions!E27)+N10</f>
        <v>97.535583184532285</v>
      </c>
      <c r="O12" s="17">
        <f>N12*(1-Assumptions!E27)+O10</f>
        <v>164.1298372534913</v>
      </c>
      <c r="P12" s="17">
        <f>O12*(1-Assumptions!E27)+P10</f>
        <v>245.73567288375318</v>
      </c>
      <c r="Q12" s="17">
        <f>P12*(1-Assumptions!E27)+Q10</f>
        <v>341.18783846161188</v>
      </c>
      <c r="R12" s="17">
        <f>Q12*(1-Assumptions!E27)+R10</f>
        <v>449.48795222605838</v>
      </c>
      <c r="S12" s="17">
        <f>R12*(1-Assumptions!E27)+S10</f>
        <v>569.79957749875439</v>
      </c>
      <c r="T12" s="17">
        <f>S12*(1-Assumptions!E27)+T10</f>
        <v>701.4453814411537</v>
      </c>
      <c r="U12" s="17">
        <f>T12*(1-Assumptions!E27)+U10</f>
        <v>843.9064484065774</v>
      </c>
      <c r="V12" s="17">
        <f>U12*(1-Assumptions!E27)+V10</f>
        <v>996.82385672505393</v>
      </c>
      <c r="W12" s="17">
        <f>V12*(1-Assumptions!E27)+W10</f>
        <v>1160.0026690491445</v>
      </c>
      <c r="X12" s="17">
        <f>W12*(1-Assumptions!E27)+X10</f>
        <v>1333.4185320544157</v>
      </c>
      <c r="Y12" s="17">
        <f>X12*(1-Assumptions!E27)+Y10</f>
        <v>1517.2271322926617</v>
      </c>
      <c r="Z12" s="17">
        <f>Y12*(1-Assumptions!E27)+Z10</f>
        <v>1711.6425257403366</v>
      </c>
      <c r="AA12" s="17">
        <f>Z12*(1-Assumptions!E27)+AA10</f>
        <v>1937.2142961115633</v>
      </c>
      <c r="AB12" s="17">
        <f>AA12*(1-Assumptions!E27)+AB10</f>
        <v>2193.0029835902328</v>
      </c>
      <c r="AC12" s="17">
        <f>AB12*(1-Assumptions!E27)+AC10</f>
        <v>2478.4223132421357</v>
      </c>
      <c r="AD12" s="17">
        <f>AC12*(1-Assumptions!E27)+AD10</f>
        <v>2793.2626826198075</v>
      </c>
      <c r="AE12" s="17">
        <f>AD12*(1-Assumptions!E27)+AE10</f>
        <v>3137.7203834796883</v>
      </c>
      <c r="AF12" s="17">
        <f>AE12*(1-Assumptions!E27)+AF10</f>
        <v>3512.433361587704</v>
      </c>
      <c r="AG12" s="17">
        <f>AF12*(1-Assumptions!E27)+AG10</f>
        <v>3918.5244536109512</v>
      </c>
      <c r="AH12" s="17">
        <f>AG12*(1-Assumptions!E27)+AH10</f>
        <v>4357.6531963627021</v>
      </c>
      <c r="AI12" s="17">
        <f>AH12*(1-Assumptions!E27)+AI10</f>
        <v>4832.0774846047316</v>
      </c>
      <c r="AJ12" s="17">
        <f>AI12*(1-Assumptions!E27)+AJ10</f>
        <v>5344.7265631804466</v>
      </c>
      <c r="AK12" s="17">
        <f>AJ12*(1-Assumptions!E27)+AK10</f>
        <v>5899.2870820532053</v>
      </c>
      <c r="AL12" s="17">
        <f>M12</f>
        <v>47.292004386235966</v>
      </c>
      <c r="AM12" s="17">
        <f>Y12</f>
        <v>1517.2271322926617</v>
      </c>
      <c r="AN12" s="17">
        <f>AK12</f>
        <v>5899.2870820532053</v>
      </c>
      <c r="AO12" t="s">
        <v>138</v>
      </c>
    </row>
    <row r="13" spans="1:41" ht="15" customHeight="1" x14ac:dyDescent="0.2">
      <c r="A13" s="9" t="s">
        <v>139</v>
      </c>
      <c r="B13" s="20">
        <f>0</f>
        <v>0</v>
      </c>
      <c r="C13" s="20">
        <f>0</f>
        <v>0</v>
      </c>
      <c r="D13" s="20">
        <f>0</f>
        <v>0</v>
      </c>
      <c r="E13" s="20">
        <f>0</f>
        <v>0</v>
      </c>
      <c r="F13" s="20">
        <f>0</f>
        <v>0</v>
      </c>
      <c r="G13" s="20">
        <f>Assumptions!E29</f>
        <v>0.8</v>
      </c>
      <c r="H13" s="20">
        <f>G13+Assumptions!E29</f>
        <v>1.6</v>
      </c>
      <c r="I13" s="20">
        <f>H13+Assumptions!E29</f>
        <v>2.4000000000000004</v>
      </c>
      <c r="J13" s="20">
        <f>I13+Assumptions!E29</f>
        <v>3.2</v>
      </c>
      <c r="K13" s="20">
        <f>J13+Assumptions!E29</f>
        <v>4</v>
      </c>
      <c r="L13" s="20">
        <f>K13+Assumptions!E29</f>
        <v>4.8</v>
      </c>
      <c r="M13" s="20">
        <f>L13+Assumptions!E29</f>
        <v>5.6</v>
      </c>
      <c r="N13" s="20">
        <f>M13+Assumptions!E30</f>
        <v>7.6</v>
      </c>
      <c r="O13" s="20">
        <f>N13+Assumptions!E30</f>
        <v>9.6</v>
      </c>
      <c r="P13" s="20">
        <f>O13+Assumptions!E30</f>
        <v>11.6</v>
      </c>
      <c r="Q13" s="20">
        <f>P13+Assumptions!E30</f>
        <v>13.6</v>
      </c>
      <c r="R13" s="20">
        <f>Q13+Assumptions!E30</f>
        <v>15.6</v>
      </c>
      <c r="S13" s="20">
        <f>R13+Assumptions!E30</f>
        <v>17.600000000000001</v>
      </c>
      <c r="T13" s="20">
        <f>S13+Assumptions!E30</f>
        <v>19.600000000000001</v>
      </c>
      <c r="U13" s="20">
        <f>T13+Assumptions!E30</f>
        <v>21.6</v>
      </c>
      <c r="V13" s="20">
        <f>U13+Assumptions!E30</f>
        <v>23.6</v>
      </c>
      <c r="W13" s="20">
        <f>V13+Assumptions!E30</f>
        <v>25.6</v>
      </c>
      <c r="X13" s="20">
        <f>W13+Assumptions!E30</f>
        <v>27.6</v>
      </c>
      <c r="Y13" s="20">
        <f>X13+Assumptions!E30</f>
        <v>29.6</v>
      </c>
      <c r="Z13" s="20">
        <f>Y13+Assumptions!E31</f>
        <v>33.6</v>
      </c>
      <c r="AA13" s="20">
        <f>Z13+Assumptions!E31</f>
        <v>37.6</v>
      </c>
      <c r="AB13" s="20">
        <f>AA13+Assumptions!E31</f>
        <v>41.6</v>
      </c>
      <c r="AC13" s="20">
        <f>AB13+Assumptions!E31</f>
        <v>45.6</v>
      </c>
      <c r="AD13" s="20">
        <f>AC13+Assumptions!E31</f>
        <v>49.6</v>
      </c>
      <c r="AE13" s="20">
        <f>AD13+Assumptions!E31</f>
        <v>53.6</v>
      </c>
      <c r="AF13" s="20">
        <f>AE13+Assumptions!E31</f>
        <v>57.6</v>
      </c>
      <c r="AG13" s="20">
        <f>AF13+Assumptions!E31</f>
        <v>61.6</v>
      </c>
      <c r="AH13" s="20">
        <f>AG13+Assumptions!E31</f>
        <v>65.599999999999994</v>
      </c>
      <c r="AI13" s="20">
        <f>AH13+Assumptions!E31</f>
        <v>69.599999999999994</v>
      </c>
      <c r="AJ13" s="20">
        <f>AI13+Assumptions!E31</f>
        <v>73.599999999999994</v>
      </c>
      <c r="AK13" s="20">
        <f>AJ13+Assumptions!E31</f>
        <v>77.599999999999994</v>
      </c>
      <c r="AL13" s="20">
        <f>M13</f>
        <v>5.6</v>
      </c>
      <c r="AM13" s="20">
        <f>Y13</f>
        <v>29.6</v>
      </c>
      <c r="AN13" s="20">
        <f>AK13</f>
        <v>77.599999999999994</v>
      </c>
    </row>
    <row r="14" spans="1:41" ht="15" customHeight="1" x14ac:dyDescent="0.2">
      <c r="A14" s="19" t="s">
        <v>140</v>
      </c>
      <c r="B14" s="17">
        <f>0</f>
        <v>0</v>
      </c>
      <c r="C14" s="17">
        <f>0</f>
        <v>0</v>
      </c>
      <c r="D14" s="17">
        <f>0</f>
        <v>0</v>
      </c>
      <c r="E14" s="17">
        <f>0</f>
        <v>0</v>
      </c>
      <c r="F14" s="17">
        <f>0</f>
        <v>0</v>
      </c>
      <c r="G14" s="17">
        <f>Assumptions!E29*Assumptions!E32</f>
        <v>140</v>
      </c>
      <c r="H14" s="17">
        <f>G14*(1-(1-(1-Assumptions!E33)^(1/12)))+Assumptions!E29*Assumptions!E32</f>
        <v>278.11672741833831</v>
      </c>
      <c r="I14" s="17">
        <f>H14*(1-(1-(1-Assumptions!E33)^(1/12)))+Assumptions!E29*Assumptions!E32</f>
        <v>414.37551593799242</v>
      </c>
      <c r="J14" s="17">
        <f>I14*(1-(1-(1-Assumptions!E33)^(1/12)))+Assumptions!E29*Assumptions!E32</f>
        <v>548.80135845457869</v>
      </c>
      <c r="K14" s="17">
        <f>J14*(1-(1-(1-Assumptions!E33)^(1/12)))+Assumptions!E29*Assumptions!E32</f>
        <v>681.418911660606</v>
      </c>
      <c r="L14" s="17">
        <f>K14*(1-(1-(1-Assumptions!E33)^(1/12)))+Assumptions!E29*Assumptions!E32</f>
        <v>812.25250056806215</v>
      </c>
      <c r="M14" s="17">
        <f>L14*(1-(1-(1-Assumptions!E33)^(1/12)))+Assumptions!E29*Assumptions!E32</f>
        <v>941.3261229701626</v>
      </c>
      <c r="N14" s="17">
        <f>M14*(1-(1-(1-Assumptions!E33)^(1/12)))+Assumptions!E30*Assumptions!E32</f>
        <v>1278.6634538430799</v>
      </c>
      <c r="O14" s="17">
        <f>N14*(1-(1-(1-Assumptions!E33)^(1/12)))+Assumptions!E30*Assumptions!E32</f>
        <v>1611.4629408159694</v>
      </c>
      <c r="P14" s="17">
        <f>O14*(1-(1-(1-Assumptions!E33)^(1/12)))+Assumptions!E30*Assumptions!E32</f>
        <v>1939.7856267245227</v>
      </c>
      <c r="Q14" s="17">
        <f>P14*(1-(1-(1-Assumptions!E33)^(1/12)))+Assumptions!E30*Assumptions!E32</f>
        <v>2263.6917332594394</v>
      </c>
      <c r="R14" s="17">
        <f>Q14*(1-(1-(1-Assumptions!E33)^(1/12)))+Assumptions!E30*Assumptions!E32</f>
        <v>2583.2406720124277</v>
      </c>
      <c r="S14" s="17">
        <f>R14*(1-(1-(1-Assumptions!E33)^(1/12)))+Assumptions!E30*Assumptions!E32</f>
        <v>2898.4910553736117</v>
      </c>
      <c r="T14" s="17">
        <f>S14*(1-(1-(1-Assumptions!E33)^(1/12)))+Assumptions!E30*Assumptions!E32</f>
        <v>3209.50070728235</v>
      </c>
      <c r="U14" s="17">
        <f>T14*(1-(1-(1-Assumptions!E33)^(1/12)))+Assumptions!E30*Assumptions!E32</f>
        <v>3516.3266738334319</v>
      </c>
      <c r="V14" s="17">
        <f>U14*(1-(1-(1-Assumptions!E33)^(1/12)))+Assumptions!E30*Assumptions!E32</f>
        <v>3819.0252337406032</v>
      </c>
      <c r="W14" s="17">
        <f>V14*(1-(1-(1-Assumptions!E33)^(1/12)))+Assumptions!E30*Assumptions!E32</f>
        <v>4117.6519086593344</v>
      </c>
      <c r="X14" s="17">
        <f>W14*(1-(1-(1-Assumptions!E33)^(1/12)))+Assumptions!E30*Assumptions!E32</f>
        <v>4412.2614733707287</v>
      </c>
      <c r="Y14" s="17">
        <f>X14*(1-(1-(1-Assumptions!E33)^(1/12)))+Assumptions!E30*Assumptions!E32</f>
        <v>4702.9079658284354</v>
      </c>
      <c r="Z14" s="17">
        <f>Y14*(1-(1-(1-Assumptions!E33)^(1/12)))+Assumptions!E31*Assumptions!E32</f>
        <v>5339.6446970704146</v>
      </c>
      <c r="AA14" s="17">
        <f>Z14*(1-(1-(1-Assumptions!E33)^(1/12)))+Assumptions!E31*Assumptions!E32</f>
        <v>5967.8160795432168</v>
      </c>
      <c r="AB14" s="17">
        <f>AA14*(1-(1-(1-Assumptions!E33)^(1/12)))+Assumptions!E31*Assumptions!E32</f>
        <v>6587.5373338646223</v>
      </c>
      <c r="AC14" s="17">
        <f>AB14*(1-(1-(1-Assumptions!E33)^(1/12)))+Assumptions!E31*Assumptions!E32</f>
        <v>7198.9221307107673</v>
      </c>
      <c r="AD14" s="17">
        <f>AC14*(1-(1-(1-Assumptions!E33)^(1/12)))+Assumptions!E31*Assumptions!E32</f>
        <v>7802.0826116658754</v>
      </c>
      <c r="AE14" s="17">
        <f>AD14*(1-(1-(1-Assumptions!E33)^(1/12)))+Assumptions!E31*Assumptions!E32</f>
        <v>8397.1294097915234</v>
      </c>
      <c r="AF14" s="17">
        <f>AE14*(1-(1-(1-Assumptions!E33)^(1/12)))+Assumptions!E31*Assumptions!E32</f>
        <v>8984.171669919202</v>
      </c>
      <c r="AG14" s="17">
        <f>AF14*(1-(1-(1-Assumptions!E33)^(1/12)))+Assumptions!E31*Assumptions!E32</f>
        <v>9563.3170686699159</v>
      </c>
      <c r="AH14" s="17">
        <f>AG14*(1-(1-(1-Assumptions!E33)^(1/12)))+Assumptions!E31*Assumptions!E32</f>
        <v>10134.671834204466</v>
      </c>
      <c r="AI14" s="17">
        <f>AH14*(1-(1-(1-Assumptions!E33)^(1/12)))+Assumptions!E31*Assumptions!E32</f>
        <v>10698.340765708068</v>
      </c>
      <c r="AJ14" s="17">
        <f>AI14*(1-(1-(1-Assumptions!E33)^(1/12)))+Assumptions!E31*Assumptions!E32</f>
        <v>11254.427252612846</v>
      </c>
      <c r="AK14" s="17">
        <f>AJ14*(1-(1-(1-Assumptions!E33)^(1/12)))+Assumptions!E31*Assumptions!E32</f>
        <v>11803.033293561764</v>
      </c>
      <c r="AL14" s="17">
        <f>M14</f>
        <v>941.3261229701626</v>
      </c>
      <c r="AM14" s="17">
        <f>Y14</f>
        <v>4702.9079658284354</v>
      </c>
      <c r="AN14" s="17">
        <f>AK14</f>
        <v>11803.033293561764</v>
      </c>
      <c r="AO14" t="s">
        <v>141</v>
      </c>
    </row>
    <row r="15" spans="1:41" ht="15" customHeight="1" x14ac:dyDescent="0.2">
      <c r="A15" s="19" t="s">
        <v>142</v>
      </c>
      <c r="B15" s="21">
        <f t="shared" ref="B15:AK15" si="1">B11+B12+B14</f>
        <v>24</v>
      </c>
      <c r="C15" s="21">
        <f t="shared" si="1"/>
        <v>50.16</v>
      </c>
      <c r="D15" s="21">
        <f t="shared" si="1"/>
        <v>78.94319999999999</v>
      </c>
      <c r="E15" s="21">
        <f t="shared" si="1"/>
        <v>527.60060690666671</v>
      </c>
      <c r="F15" s="21">
        <f t="shared" si="1"/>
        <v>951.52921657953607</v>
      </c>
      <c r="G15" s="21">
        <f t="shared" si="1"/>
        <v>1493.9952492228522</v>
      </c>
      <c r="H15" s="21">
        <f t="shared" si="1"/>
        <v>2016.2636743076655</v>
      </c>
      <c r="I15" s="21">
        <f t="shared" si="1"/>
        <v>2521.4316311530433</v>
      </c>
      <c r="J15" s="21">
        <f t="shared" si="1"/>
        <v>3012.5618053626949</v>
      </c>
      <c r="K15" s="21">
        <f t="shared" si="1"/>
        <v>3492.7262907344266</v>
      </c>
      <c r="L15" s="21">
        <f t="shared" si="1"/>
        <v>3965.0527929837936</v>
      </c>
      <c r="M15" s="21">
        <f t="shared" si="1"/>
        <v>4432.7740560152915</v>
      </c>
      <c r="N15" s="21">
        <f t="shared" si="1"/>
        <v>6010.8871413272791</v>
      </c>
      <c r="O15" s="21">
        <f t="shared" si="1"/>
        <v>7544.2414945938999</v>
      </c>
      <c r="P15" s="21">
        <f t="shared" si="1"/>
        <v>9040.470350566362</v>
      </c>
      <c r="Q15" s="21">
        <f t="shared" si="1"/>
        <v>10507.262832940713</v>
      </c>
      <c r="R15" s="21">
        <f t="shared" si="1"/>
        <v>11952.479546870341</v>
      </c>
      <c r="S15" s="21">
        <f t="shared" si="1"/>
        <v>13384.276717363166</v>
      </c>
      <c r="T15" s="21">
        <f t="shared" si="1"/>
        <v>14811.241315967391</v>
      </c>
      <c r="U15" s="21">
        <f t="shared" si="1"/>
        <v>16242.539906951599</v>
      </c>
      <c r="V15" s="21">
        <f t="shared" si="1"/>
        <v>17688.08429218848</v>
      </c>
      <c r="W15" s="21">
        <f t="shared" si="1"/>
        <v>19158.71744949152</v>
      </c>
      <c r="X15" s="21">
        <f t="shared" si="1"/>
        <v>20666.42375208372</v>
      </c>
      <c r="Y15" s="21">
        <f t="shared" si="1"/>
        <v>22215.615592551418</v>
      </c>
      <c r="Z15" s="21">
        <f t="shared" si="1"/>
        <v>25512.690299039867</v>
      </c>
      <c r="AA15" s="21">
        <f t="shared" si="1"/>
        <v>28832.038133122554</v>
      </c>
      <c r="AB15" s="21">
        <f t="shared" si="1"/>
        <v>32194.501594762158</v>
      </c>
      <c r="AC15" s="21">
        <f t="shared" si="1"/>
        <v>35623.547028948611</v>
      </c>
      <c r="AD15" s="21">
        <f t="shared" si="1"/>
        <v>39145.717383517374</v>
      </c>
      <c r="AE15" s="21">
        <f t="shared" si="1"/>
        <v>42791.155767431628</v>
      </c>
      <c r="AF15" s="21">
        <f t="shared" si="1"/>
        <v>46594.211222898804</v>
      </c>
      <c r="AG15" s="21">
        <f t="shared" si="1"/>
        <v>50594.139946286159</v>
      </c>
      <c r="AH15" s="21">
        <f t="shared" si="1"/>
        <v>54835.917306094503</v>
      </c>
      <c r="AI15" s="21">
        <f t="shared" si="1"/>
        <v>59371.178457903254</v>
      </c>
      <c r="AJ15" s="21">
        <f t="shared" si="1"/>
        <v>64259.308200338135</v>
      </c>
      <c r="AK15" s="21">
        <f t="shared" si="1"/>
        <v>69568.704015521202</v>
      </c>
      <c r="AL15" s="21">
        <f>M15</f>
        <v>4432.7740560152915</v>
      </c>
      <c r="AM15" s="21">
        <f>Y15</f>
        <v>22215.615592551418</v>
      </c>
      <c r="AN15" s="21">
        <f>AK15</f>
        <v>69568.704015521202</v>
      </c>
      <c r="AO15" t="s">
        <v>143</v>
      </c>
    </row>
    <row r="17" spans="1:41" ht="15" customHeight="1" x14ac:dyDescent="0.2">
      <c r="A17" s="6" t="s">
        <v>144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ht="15" customHeight="1" x14ac:dyDescent="0.2">
      <c r="A18" s="9" t="s">
        <v>145</v>
      </c>
      <c r="B18" s="22">
        <f>B11*Assumptions!E4</f>
        <v>119.76</v>
      </c>
      <c r="C18" s="22">
        <f>(B11+C11)/2*Assumptions!E4</f>
        <v>185.0292</v>
      </c>
      <c r="D18" s="22">
        <f>(C11+D11)/2*Assumptions!E4</f>
        <v>322.11248399999999</v>
      </c>
      <c r="E18" s="22">
        <f>(D11+E11)/2*Assumptions!E4</f>
        <v>1513.3267982321336</v>
      </c>
      <c r="F18" s="22">
        <f>(E11+F11)/2*Assumptions!E4</f>
        <v>3690.4289095980762</v>
      </c>
      <c r="G18" s="22">
        <f>(F11+G11)/2*Assumptions!E4</f>
        <v>5752.2835421769596</v>
      </c>
      <c r="H18" s="22">
        <f>(G11+H11)/2*Assumptions!E4</f>
        <v>7714.8947792998888</v>
      </c>
      <c r="I18" s="22">
        <f>(H11+I11)/2*Assumptions!E4</f>
        <v>9593.7816399504227</v>
      </c>
      <c r="J18" s="22">
        <f>(I11+J11)/2*Assumptions!E4</f>
        <v>11404.187322497302</v>
      </c>
      <c r="K18" s="22">
        <f>(J11+K11)/2*Assumptions!E4</f>
        <v>13161.294225824933</v>
      </c>
      <c r="L18" s="22">
        <f>(K11+L11)/2*Assumptions!E4</f>
        <v>14880.448640366432</v>
      </c>
      <c r="M18" s="22">
        <f>(L11+M11)/2*Assumptions!E4</f>
        <v>16459.405771581187</v>
      </c>
      <c r="N18" s="22">
        <f>(M11+N11)/2*Assumptions!E4</f>
        <v>20156.715862231606</v>
      </c>
      <c r="O18" s="22">
        <f>(N11+O11)/2*Assumptions!E4</f>
        <v>25956.325367956146</v>
      </c>
      <c r="P18" s="22">
        <f>(O11+P11)/2*Assumptions!E4</f>
        <v>31495.876429868906</v>
      </c>
      <c r="Q18" s="22">
        <f>(P11+Q11)/2*Assumptions!E4</f>
        <v>36819.544118883481</v>
      </c>
      <c r="R18" s="22">
        <f>(Q11+R11)/2*Assumptions!E4</f>
        <v>41971.224788709529</v>
      </c>
      <c r="S18" s="22">
        <f>(R11+S11)/2*Assumptions!E4</f>
        <v>46995.163832771024</v>
      </c>
      <c r="T18" s="22">
        <f>(S11+T11)/2*Assumptions!E4</f>
        <v>51936.621872778051</v>
      </c>
      <c r="U18" s="22">
        <f>(T11+U11)/2*Assumptions!E4</f>
        <v>56842.592019828917</v>
      </c>
      <c r="V18" s="22">
        <f>(U11+V11)/2*Assumptions!E4</f>
        <v>61762.582256153866</v>
      </c>
      <c r="W18" s="22">
        <f>(V11+W11)/2*Assumptions!E4</f>
        <v>66749.478693397134</v>
      </c>
      <c r="X18" s="22">
        <f>(W11+X11)/2*Assumptions!E4</f>
        <v>71860.507513011835</v>
      </c>
      <c r="Y18" s="22">
        <f>(X11+Y11)/2*Assumptions!E4</f>
        <v>77135.979481516799</v>
      </c>
      <c r="Z18" s="22">
        <f>(Y11+Z11)/2*Assumptions!E4</f>
        <v>85969.924508795302</v>
      </c>
      <c r="AA18" s="22">
        <f>(Z11+AA11)/2*Assumptions!E4</f>
        <v>98274.085030073751</v>
      </c>
      <c r="AB18" s="22">
        <f>(AA11+AB11)/2*Assumptions!E4</f>
        <v>110630.71774176383</v>
      </c>
      <c r="AC18" s="22">
        <f>(AB11+AC11)/2*Assumptions!E4</f>
        <v>123153.60883644603</v>
      </c>
      <c r="AD18" s="22">
        <f>(AC11+AD11)/2*Assumptions!E4</f>
        <v>135968.95381219737</v>
      </c>
      <c r="AE18" s="22">
        <f>(AD11+AE11)/2*Assumptions!E4</f>
        <v>149217.66176816332</v>
      </c>
      <c r="AF18" s="22">
        <f>(AE11+AF11)/2*Assumptions!E4</f>
        <v>163058.01085305304</v>
      </c>
      <c r="AG18" s="22">
        <f>(AF11+AG11)/2*Assumptions!E4</f>
        <v>177668.71201541598</v>
      </c>
      <c r="AH18" s="22">
        <f>(AG11+AH11)/2*Assumptions!E4</f>
        <v>193252.44729533396</v>
      </c>
      <c r="AI18" s="22">
        <f>(AH11+AI11)/2*Assumptions!E4</f>
        <v>210039.95944537895</v>
      </c>
      <c r="AJ18" s="22">
        <f>(AI11+AJ11)/2*Assumptions!E4</f>
        <v>228294.78190737756</v>
      </c>
      <c r="AK18" s="22">
        <f>(AJ11+AK11)/2*Assumptions!E4</f>
        <v>248318.71237100541</v>
      </c>
      <c r="AL18" s="22">
        <f t="shared" ref="AL18:AL24" si="2">SUM(B18:M18)</f>
        <v>84796.953313527338</v>
      </c>
      <c r="AM18" s="22">
        <f t="shared" ref="AM18:AM24" si="3">SUM(N18:Y18)</f>
        <v>589682.61223710724</v>
      </c>
      <c r="AN18" s="22">
        <f t="shared" ref="AN18:AN24" si="4">SUM(Z18:AK18)</f>
        <v>1923847.5755850046</v>
      </c>
    </row>
    <row r="19" spans="1:41" ht="15" customHeight="1" x14ac:dyDescent="0.2">
      <c r="A19" s="9" t="s">
        <v>146</v>
      </c>
      <c r="B19" s="22">
        <f>0</f>
        <v>0</v>
      </c>
      <c r="C19" s="22">
        <f>0</f>
        <v>0</v>
      </c>
      <c r="D19" s="22">
        <f>0</f>
        <v>0</v>
      </c>
      <c r="E19" s="22">
        <f>0</f>
        <v>0</v>
      </c>
      <c r="F19" s="22">
        <f>0</f>
        <v>0</v>
      </c>
      <c r="G19" s="22">
        <f>0</f>
        <v>0</v>
      </c>
      <c r="H19" s="22">
        <f>0</f>
        <v>0</v>
      </c>
      <c r="I19" s="22">
        <f>0</f>
        <v>0</v>
      </c>
      <c r="J19" s="22">
        <f>0</f>
        <v>0</v>
      </c>
      <c r="K19" s="22">
        <f>0</f>
        <v>0</v>
      </c>
      <c r="L19" s="22">
        <f>0</f>
        <v>0</v>
      </c>
      <c r="M19" s="22">
        <f>M12*Assumptions!E5</f>
        <v>614.32313697720519</v>
      </c>
      <c r="N19" s="22">
        <f>(M12+N12)/2*Assumptions!E5</f>
        <v>940.65518127213988</v>
      </c>
      <c r="O19" s="22">
        <f>(N12+O12)/2*Assumptions!E5</f>
        <v>1699.5169057449634</v>
      </c>
      <c r="P19" s="22">
        <f>(O12+P12)/2*Assumptions!E5</f>
        <v>2662.0764883414031</v>
      </c>
      <c r="Q19" s="22">
        <f>(P12+Q12)/2*Assumptions!E5</f>
        <v>3812.0682061881466</v>
      </c>
      <c r="R19" s="22">
        <f>(Q12+R12)/2*Assumptions!E5</f>
        <v>5135.4392605164185</v>
      </c>
      <c r="S19" s="22">
        <f>(R12+S12)/2*Assumptions!E5</f>
        <v>6620.2725055626588</v>
      </c>
      <c r="T19" s="22">
        <f>(S12+T12)/2*Assumptions!E5</f>
        <v>8256.7360083147032</v>
      </c>
      <c r="U19" s="22">
        <f>(T12+U12)/2*Assumptions!E5</f>
        <v>10037.060134861014</v>
      </c>
      <c r="V19" s="22">
        <f>(U12+V12)/2*Assumptions!E5</f>
        <v>11955.543331829946</v>
      </c>
      <c r="W19" s="22">
        <f>(V12+W12)/2*Assumptions!E5</f>
        <v>14008.588284903421</v>
      </c>
      <c r="X19" s="22">
        <f>(W12+X12)/2*Assumptions!E5</f>
        <v>16194.770701167623</v>
      </c>
      <c r="Y19" s="22">
        <f>(X12+Y12)/2*Assumptions!E5</f>
        <v>18514.943589934268</v>
      </c>
      <c r="Z19" s="22">
        <f>(Y12+Z12)/2*Assumptions!E5</f>
        <v>20971.508428924324</v>
      </c>
      <c r="AA19" s="22">
        <f>(Z12+AA12)/2*Assumptions!E5</f>
        <v>23699.32505792809</v>
      </c>
      <c r="AB19" s="22">
        <f>(AA12+AB12)/2*Assumptions!E5</f>
        <v>26825.761231663164</v>
      </c>
      <c r="AC19" s="22">
        <f>(AB12+AC12)/2*Assumptions!E5</f>
        <v>30340.907302926236</v>
      </c>
      <c r="AD19" s="22">
        <f>(AC12+AD12)/2*Assumptions!E5</f>
        <v>34239.594048123319</v>
      </c>
      <c r="AE19" s="22">
        <f>(AD12+AE12)/2*Assumptions!E5</f>
        <v>38521.735014316226</v>
      </c>
      <c r="AF19" s="22">
        <f>(AE12+AF12)/2*Assumptions!E5</f>
        <v>43192.74857421271</v>
      </c>
      <c r="AG19" s="22">
        <f>(AF12+AG12)/2*Assumptions!E5</f>
        <v>48264.07100971527</v>
      </c>
      <c r="AH19" s="22">
        <f>(AG12+AH12)/2*Assumptions!E5</f>
        <v>53753.773836578883</v>
      </c>
      <c r="AI19" s="22">
        <f>(AH12+AI12)/2*Assumptions!E5</f>
        <v>59687.300772883485</v>
      </c>
      <c r="AJ19" s="22">
        <f>(AI12+AJ12)/2*Assumptions!E5</f>
        <v>66098.342290364744</v>
      </c>
      <c r="AK19" s="22">
        <f>(AJ12+AK12)/2*Assumptions!E5</f>
        <v>73029.868625792573</v>
      </c>
      <c r="AL19" s="22">
        <f t="shared" si="2"/>
        <v>614.32313697720519</v>
      </c>
      <c r="AM19" s="22">
        <f t="shared" si="3"/>
        <v>99837.670598636701</v>
      </c>
      <c r="AN19" s="22">
        <f t="shared" si="4"/>
        <v>518624.93619342899</v>
      </c>
    </row>
    <row r="20" spans="1:41" ht="15" customHeight="1" x14ac:dyDescent="0.2">
      <c r="A20" s="9" t="s">
        <v>147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G14*Assumptions!E6</f>
        <v>558.6</v>
      </c>
      <c r="H20" s="22">
        <f>H14*Assumptions!E6</f>
        <v>1109.6857423991698</v>
      </c>
      <c r="I20" s="22">
        <f>I14*Assumptions!E6</f>
        <v>1653.3583085925898</v>
      </c>
      <c r="J20" s="22">
        <f>J14*Assumptions!E6</f>
        <v>2189.7174202337692</v>
      </c>
      <c r="K20" s="22">
        <f>K14*Assumptions!E6</f>
        <v>2718.861457525818</v>
      </c>
      <c r="L20" s="22">
        <f>L14*Assumptions!E6</f>
        <v>3240.8874772665681</v>
      </c>
      <c r="M20" s="22">
        <f>M14*Assumptions!E6</f>
        <v>3755.8912306509492</v>
      </c>
      <c r="N20" s="22">
        <f>N14*Assumptions!E7</f>
        <v>7659.1940885200484</v>
      </c>
      <c r="O20" s="22">
        <f>O14*Assumptions!E7</f>
        <v>9652.6630154876566</v>
      </c>
      <c r="P20" s="22">
        <f>P14*Assumptions!E7</f>
        <v>11619.315904079891</v>
      </c>
      <c r="Q20" s="22">
        <f>Q14*Assumptions!E7</f>
        <v>13559.513482224042</v>
      </c>
      <c r="R20" s="22">
        <f>R14*Assumptions!E7</f>
        <v>15473.611625354442</v>
      </c>
      <c r="S20" s="22">
        <f>S14*Assumptions!E7</f>
        <v>17361.961421687934</v>
      </c>
      <c r="T20" s="22">
        <f>T14*Assumptions!E7</f>
        <v>19224.909236621279</v>
      </c>
      <c r="U20" s="22">
        <f>U14*Assumptions!E7</f>
        <v>21062.796776262257</v>
      </c>
      <c r="V20" s="22">
        <f>V14*Assumptions!E7</f>
        <v>22875.961150106214</v>
      </c>
      <c r="W20" s="22">
        <f>W14*Assumptions!E7</f>
        <v>24664.734932869414</v>
      </c>
      <c r="X20" s="22">
        <f>X14*Assumptions!E7</f>
        <v>26429.446225490665</v>
      </c>
      <c r="Y20" s="22">
        <f>Y14*Assumptions!E7</f>
        <v>28170.418715312328</v>
      </c>
      <c r="Z20" s="22">
        <f>Z14*Assumptions!E7</f>
        <v>31984.471735451785</v>
      </c>
      <c r="AA20" s="22">
        <f>AA14*Assumptions!E7</f>
        <v>35747.21831646387</v>
      </c>
      <c r="AB20" s="22">
        <f>AB14*Assumptions!E7</f>
        <v>39459.34862984909</v>
      </c>
      <c r="AC20" s="22">
        <f>AC14*Assumptions!E7</f>
        <v>43121.5435629575</v>
      </c>
      <c r="AD20" s="22">
        <f>AD14*Assumptions!E7</f>
        <v>46734.474843878597</v>
      </c>
      <c r="AE20" s="22">
        <f>AE14*Assumptions!E7</f>
        <v>50298.805164651225</v>
      </c>
      <c r="AF20" s="22">
        <f>AF14*Assumptions!E7</f>
        <v>53815.188302816023</v>
      </c>
      <c r="AG20" s="22">
        <f>AG14*Assumptions!E7</f>
        <v>57284.269241332797</v>
      </c>
      <c r="AH20" s="22">
        <f>AH14*Assumptions!E7</f>
        <v>60706.684286884753</v>
      </c>
      <c r="AI20" s="22">
        <f>AI14*Assumptions!E7</f>
        <v>64083.061186591331</v>
      </c>
      <c r="AJ20" s="22">
        <f>AJ14*Assumptions!E7</f>
        <v>67414.019243150949</v>
      </c>
      <c r="AK20" s="22">
        <f>AK14*Assumptions!E7</f>
        <v>70700.169428434965</v>
      </c>
      <c r="AL20" s="22">
        <f t="shared" si="2"/>
        <v>15227.001636668865</v>
      </c>
      <c r="AM20" s="22">
        <f t="shared" si="3"/>
        <v>217754.52657401617</v>
      </c>
      <c r="AN20" s="22">
        <f t="shared" si="4"/>
        <v>621349.25394246285</v>
      </c>
    </row>
    <row r="21" spans="1:41" ht="15" customHeight="1" x14ac:dyDescent="0.2">
      <c r="A21" s="9" t="s">
        <v>148</v>
      </c>
      <c r="B21" s="22">
        <f>0</f>
        <v>0</v>
      </c>
      <c r="C21" s="22">
        <f>0</f>
        <v>0</v>
      </c>
      <c r="D21" s="22">
        <f>Assumptions!E35</f>
        <v>1000</v>
      </c>
      <c r="E21" s="22">
        <f>Assumptions!E35</f>
        <v>1000</v>
      </c>
      <c r="F21" s="22">
        <f>Assumptions!E35</f>
        <v>1000</v>
      </c>
      <c r="G21" s="22">
        <f>Assumptions!E35</f>
        <v>1000</v>
      </c>
      <c r="H21" s="22">
        <f>Assumptions!E35</f>
        <v>1000</v>
      </c>
      <c r="I21" s="22">
        <f>Assumptions!E35</f>
        <v>1000</v>
      </c>
      <c r="J21" s="22">
        <f>Assumptions!E35</f>
        <v>1000</v>
      </c>
      <c r="K21" s="22">
        <f>Assumptions!E35</f>
        <v>1000</v>
      </c>
      <c r="L21" s="22">
        <f>Assumptions!E35</f>
        <v>1000</v>
      </c>
      <c r="M21" s="22">
        <f>Assumptions!E35</f>
        <v>1000</v>
      </c>
      <c r="N21" s="22">
        <f>Assumptions!E36</f>
        <v>2000</v>
      </c>
      <c r="O21" s="22">
        <f>Assumptions!E36</f>
        <v>2000</v>
      </c>
      <c r="P21" s="22">
        <f>Assumptions!E36</f>
        <v>2000</v>
      </c>
      <c r="Q21" s="22">
        <f>Assumptions!E36</f>
        <v>2000</v>
      </c>
      <c r="R21" s="22">
        <f>Assumptions!E36</f>
        <v>2000</v>
      </c>
      <c r="S21" s="22">
        <f>Assumptions!E36</f>
        <v>2000</v>
      </c>
      <c r="T21" s="22">
        <f>Assumptions!E36</f>
        <v>2000</v>
      </c>
      <c r="U21" s="22">
        <f>Assumptions!E36</f>
        <v>2000</v>
      </c>
      <c r="V21" s="22">
        <f>Assumptions!E36</f>
        <v>2000</v>
      </c>
      <c r="W21" s="22">
        <f>Assumptions!E36</f>
        <v>2000</v>
      </c>
      <c r="X21" s="22">
        <f>Assumptions!E36</f>
        <v>2000</v>
      </c>
      <c r="Y21" s="22">
        <f>Assumptions!E36</f>
        <v>2000</v>
      </c>
      <c r="Z21" s="22">
        <f>Assumptions!E37</f>
        <v>3000</v>
      </c>
      <c r="AA21" s="22">
        <f>Assumptions!E37</f>
        <v>3000</v>
      </c>
      <c r="AB21" s="22">
        <f>Assumptions!E37</f>
        <v>3000</v>
      </c>
      <c r="AC21" s="22">
        <f>Assumptions!E37</f>
        <v>3000</v>
      </c>
      <c r="AD21" s="22">
        <f>Assumptions!E37</f>
        <v>3000</v>
      </c>
      <c r="AE21" s="22">
        <f>Assumptions!E37</f>
        <v>3000</v>
      </c>
      <c r="AF21" s="22">
        <f>Assumptions!E37</f>
        <v>3000</v>
      </c>
      <c r="AG21" s="22">
        <f>Assumptions!E37</f>
        <v>3000</v>
      </c>
      <c r="AH21" s="22">
        <f>Assumptions!E37</f>
        <v>3000</v>
      </c>
      <c r="AI21" s="22">
        <f>Assumptions!E37</f>
        <v>3000</v>
      </c>
      <c r="AJ21" s="22">
        <f>Assumptions!E37</f>
        <v>3000</v>
      </c>
      <c r="AK21" s="22">
        <f>Assumptions!E37</f>
        <v>3000</v>
      </c>
      <c r="AL21" s="22">
        <f t="shared" si="2"/>
        <v>10000</v>
      </c>
      <c r="AM21" s="22">
        <f t="shared" si="3"/>
        <v>24000</v>
      </c>
      <c r="AN21" s="22">
        <f t="shared" si="4"/>
        <v>36000</v>
      </c>
      <c r="AO21" t="s">
        <v>149</v>
      </c>
    </row>
    <row r="22" spans="1:41" ht="15" customHeight="1" x14ac:dyDescent="0.2">
      <c r="A22" s="9" t="s">
        <v>150</v>
      </c>
      <c r="B22" s="22">
        <f>0</f>
        <v>0</v>
      </c>
      <c r="C22" s="22">
        <f>0</f>
        <v>0</v>
      </c>
      <c r="D22" s="22">
        <f>0</f>
        <v>0</v>
      </c>
      <c r="E22" s="22">
        <f>0</f>
        <v>0</v>
      </c>
      <c r="F22" s="22">
        <f>0</f>
        <v>0</v>
      </c>
      <c r="G22" s="22">
        <f>G13*Assumptions!E39</f>
        <v>400</v>
      </c>
      <c r="H22" s="22">
        <f>H13*Assumptions!E39</f>
        <v>800</v>
      </c>
      <c r="I22" s="22">
        <f>I13*Assumptions!E39</f>
        <v>1200.0000000000002</v>
      </c>
      <c r="J22" s="22">
        <f>J13*Assumptions!E39</f>
        <v>1600</v>
      </c>
      <c r="K22" s="22">
        <f>K13*Assumptions!E39</f>
        <v>2000</v>
      </c>
      <c r="L22" s="22">
        <f>L13*Assumptions!E39</f>
        <v>2400</v>
      </c>
      <c r="M22" s="22">
        <f>M13*Assumptions!E39</f>
        <v>2800</v>
      </c>
      <c r="N22" s="22">
        <f>N13*Assumptions!E39</f>
        <v>3800</v>
      </c>
      <c r="O22" s="22">
        <f>O13*Assumptions!E39</f>
        <v>4800</v>
      </c>
      <c r="P22" s="22">
        <f>P13*Assumptions!E39</f>
        <v>5800</v>
      </c>
      <c r="Q22" s="22">
        <f>Q13*Assumptions!E39</f>
        <v>6800</v>
      </c>
      <c r="R22" s="22">
        <f>R13*Assumptions!E39</f>
        <v>7800</v>
      </c>
      <c r="S22" s="22">
        <f>S13*Assumptions!E39</f>
        <v>8800</v>
      </c>
      <c r="T22" s="22">
        <f>T13*Assumptions!E39</f>
        <v>9800</v>
      </c>
      <c r="U22" s="22">
        <f>U13*Assumptions!E39</f>
        <v>10800</v>
      </c>
      <c r="V22" s="22">
        <f>V13*Assumptions!E39</f>
        <v>11800</v>
      </c>
      <c r="W22" s="22">
        <f>W13*Assumptions!E39</f>
        <v>12800</v>
      </c>
      <c r="X22" s="22">
        <f>X13*Assumptions!E39</f>
        <v>13800</v>
      </c>
      <c r="Y22" s="22">
        <f>Y13*Assumptions!E39</f>
        <v>14800</v>
      </c>
      <c r="Z22" s="22">
        <f>Z13*Assumptions!E39</f>
        <v>16800</v>
      </c>
      <c r="AA22" s="22">
        <f>AA13*Assumptions!E39</f>
        <v>18800</v>
      </c>
      <c r="AB22" s="22">
        <f>AB13*Assumptions!E39</f>
        <v>20800</v>
      </c>
      <c r="AC22" s="22">
        <f>AC13*Assumptions!E39</f>
        <v>22800</v>
      </c>
      <c r="AD22" s="22">
        <f>AD13*Assumptions!E39</f>
        <v>24800</v>
      </c>
      <c r="AE22" s="22">
        <f>AE13*Assumptions!E39</f>
        <v>26800</v>
      </c>
      <c r="AF22" s="22">
        <f>AF13*Assumptions!E39</f>
        <v>28800</v>
      </c>
      <c r="AG22" s="22">
        <f>AG13*Assumptions!E39</f>
        <v>30800</v>
      </c>
      <c r="AH22" s="22">
        <f>AH13*Assumptions!E39</f>
        <v>32800</v>
      </c>
      <c r="AI22" s="22">
        <f>AI13*Assumptions!E39</f>
        <v>34800</v>
      </c>
      <c r="AJ22" s="22">
        <f>AJ13*Assumptions!E39</f>
        <v>36800</v>
      </c>
      <c r="AK22" s="22">
        <f>AK13*Assumptions!E39</f>
        <v>38800</v>
      </c>
      <c r="AL22" s="22">
        <f t="shared" si="2"/>
        <v>11200</v>
      </c>
      <c r="AM22" s="22">
        <f t="shared" si="3"/>
        <v>111600</v>
      </c>
      <c r="AN22" s="22">
        <f t="shared" si="4"/>
        <v>333600</v>
      </c>
    </row>
    <row r="23" spans="1:41" ht="15" customHeight="1" x14ac:dyDescent="0.2">
      <c r="A23" s="9" t="s">
        <v>151</v>
      </c>
      <c r="B23" s="22">
        <f>0</f>
        <v>0</v>
      </c>
      <c r="C23" s="22">
        <f>0</f>
        <v>0</v>
      </c>
      <c r="D23" s="22">
        <f>0</f>
        <v>0</v>
      </c>
      <c r="E23" s="22">
        <f>0</f>
        <v>0</v>
      </c>
      <c r="F23" s="22">
        <f>0</f>
        <v>0</v>
      </c>
      <c r="G23" s="22">
        <f>0</f>
        <v>0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0</f>
        <v>0</v>
      </c>
      <c r="M23" s="22">
        <f>0</f>
        <v>0</v>
      </c>
      <c r="N23" s="22">
        <f>0</f>
        <v>0</v>
      </c>
      <c r="O23" s="22">
        <f>0</f>
        <v>0</v>
      </c>
      <c r="P23" s="22">
        <f>0</f>
        <v>0</v>
      </c>
      <c r="Q23" s="22">
        <f>0</f>
        <v>0</v>
      </c>
      <c r="R23" s="22">
        <f>0</f>
        <v>0</v>
      </c>
      <c r="S23" s="22">
        <f>0</f>
        <v>0</v>
      </c>
      <c r="T23" s="22">
        <f>0</f>
        <v>0</v>
      </c>
      <c r="U23" s="22">
        <f>0</f>
        <v>0</v>
      </c>
      <c r="V23" s="22">
        <f>0</f>
        <v>0</v>
      </c>
      <c r="W23" s="22">
        <f>0</f>
        <v>0</v>
      </c>
      <c r="X23" s="22">
        <f>0</f>
        <v>0</v>
      </c>
      <c r="Y23" s="22">
        <f>0</f>
        <v>0</v>
      </c>
      <c r="Z23" s="22">
        <f>Assumptions!E38</f>
        <v>3500</v>
      </c>
      <c r="AA23" s="22">
        <f>Assumptions!E38</f>
        <v>3500</v>
      </c>
      <c r="AB23" s="22">
        <f>Assumptions!E38</f>
        <v>3500</v>
      </c>
      <c r="AC23" s="22">
        <f>Assumptions!E38</f>
        <v>3500</v>
      </c>
      <c r="AD23" s="22">
        <f>Assumptions!E38</f>
        <v>3500</v>
      </c>
      <c r="AE23" s="22">
        <f>Assumptions!E38</f>
        <v>3500</v>
      </c>
      <c r="AF23" s="22">
        <f>Assumptions!E38</f>
        <v>3500</v>
      </c>
      <c r="AG23" s="22">
        <f>Assumptions!E38</f>
        <v>3500</v>
      </c>
      <c r="AH23" s="22">
        <f>Assumptions!E38</f>
        <v>3500</v>
      </c>
      <c r="AI23" s="22">
        <f>Assumptions!E38</f>
        <v>3500</v>
      </c>
      <c r="AJ23" s="22">
        <f>Assumptions!E38</f>
        <v>3500</v>
      </c>
      <c r="AK23" s="22">
        <f>Assumptions!E38</f>
        <v>3500</v>
      </c>
      <c r="AL23" s="22">
        <f t="shared" si="2"/>
        <v>0</v>
      </c>
      <c r="AM23" s="22">
        <f t="shared" si="3"/>
        <v>0</v>
      </c>
      <c r="AN23" s="22">
        <f t="shared" si="4"/>
        <v>42000</v>
      </c>
    </row>
    <row r="24" spans="1:41" s="37" customFormat="1" ht="15" customHeight="1" x14ac:dyDescent="0.2">
      <c r="A24" s="36" t="s">
        <v>152</v>
      </c>
      <c r="B24" s="33">
        <f t="shared" ref="B24:AK24" si="5">B18+B19+B20+B21+B22+B23</f>
        <v>119.76</v>
      </c>
      <c r="C24" s="33">
        <f t="shared" si="5"/>
        <v>185.0292</v>
      </c>
      <c r="D24" s="33">
        <f t="shared" si="5"/>
        <v>1322.112484</v>
      </c>
      <c r="E24" s="33">
        <f t="shared" si="5"/>
        <v>2513.3267982321336</v>
      </c>
      <c r="F24" s="33">
        <f t="shared" si="5"/>
        <v>4690.4289095980766</v>
      </c>
      <c r="G24" s="33">
        <f t="shared" si="5"/>
        <v>7710.88354217696</v>
      </c>
      <c r="H24" s="33">
        <f t="shared" si="5"/>
        <v>10624.580521699059</v>
      </c>
      <c r="I24" s="33">
        <f t="shared" si="5"/>
        <v>13447.139948543012</v>
      </c>
      <c r="J24" s="33">
        <f t="shared" si="5"/>
        <v>16193.904742731072</v>
      </c>
      <c r="K24" s="33">
        <f t="shared" si="5"/>
        <v>18880.155683350749</v>
      </c>
      <c r="L24" s="33">
        <f t="shared" si="5"/>
        <v>21521.336117633</v>
      </c>
      <c r="M24" s="33">
        <f t="shared" si="5"/>
        <v>24629.620139209339</v>
      </c>
      <c r="N24" s="33">
        <f t="shared" si="5"/>
        <v>34556.565132023796</v>
      </c>
      <c r="O24" s="33">
        <f t="shared" si="5"/>
        <v>44108.505289188768</v>
      </c>
      <c r="P24" s="33">
        <f t="shared" si="5"/>
        <v>53577.2688222902</v>
      </c>
      <c r="Q24" s="33">
        <f t="shared" si="5"/>
        <v>62991.12580729567</v>
      </c>
      <c r="R24" s="33">
        <f t="shared" si="5"/>
        <v>72380.275674580393</v>
      </c>
      <c r="S24" s="33">
        <f t="shared" si="5"/>
        <v>81777.397760021617</v>
      </c>
      <c r="T24" s="33">
        <f t="shared" si="5"/>
        <v>91218.267117714044</v>
      </c>
      <c r="U24" s="33">
        <f t="shared" si="5"/>
        <v>100742.44893095219</v>
      </c>
      <c r="V24" s="33">
        <f t="shared" si="5"/>
        <v>110394.08673809003</v>
      </c>
      <c r="W24" s="33">
        <f t="shared" si="5"/>
        <v>120222.80191116997</v>
      </c>
      <c r="X24" s="33">
        <f t="shared" si="5"/>
        <v>130284.72443967013</v>
      </c>
      <c r="Y24" s="33">
        <f t="shared" si="5"/>
        <v>140621.3417867634</v>
      </c>
      <c r="Z24" s="33">
        <f t="shared" si="5"/>
        <v>162225.9046731714</v>
      </c>
      <c r="AA24" s="33">
        <f t="shared" si="5"/>
        <v>183020.62840446571</v>
      </c>
      <c r="AB24" s="33">
        <f t="shared" si="5"/>
        <v>204215.82760327609</v>
      </c>
      <c r="AC24" s="33">
        <f t="shared" si="5"/>
        <v>225916.05970232975</v>
      </c>
      <c r="AD24" s="33">
        <f t="shared" si="5"/>
        <v>248243.02270419928</v>
      </c>
      <c r="AE24" s="33">
        <f t="shared" si="5"/>
        <v>271338.20194713073</v>
      </c>
      <c r="AF24" s="33">
        <f t="shared" si="5"/>
        <v>295365.9477300818</v>
      </c>
      <c r="AG24" s="33">
        <f t="shared" si="5"/>
        <v>320517.05226646404</v>
      </c>
      <c r="AH24" s="33">
        <f t="shared" si="5"/>
        <v>347012.90541879757</v>
      </c>
      <c r="AI24" s="33">
        <f t="shared" si="5"/>
        <v>375110.32140485378</v>
      </c>
      <c r="AJ24" s="33">
        <f t="shared" si="5"/>
        <v>405107.14344089327</v>
      </c>
      <c r="AK24" s="33">
        <f t="shared" si="5"/>
        <v>437348.75042523298</v>
      </c>
      <c r="AL24" s="33">
        <f t="shared" si="2"/>
        <v>121838.2780871734</v>
      </c>
      <c r="AM24" s="33">
        <f t="shared" si="3"/>
        <v>1042874.8094097603</v>
      </c>
      <c r="AN24" s="33">
        <f t="shared" si="4"/>
        <v>3475421.7657208969</v>
      </c>
    </row>
    <row r="25" spans="1:41" ht="15" customHeight="1" x14ac:dyDescent="0.2">
      <c r="A25" s="9" t="s">
        <v>153</v>
      </c>
      <c r="B25" s="22">
        <f t="shared" ref="B25:AK25" si="6">B18+B19+B20</f>
        <v>119.76</v>
      </c>
      <c r="C25" s="22">
        <f t="shared" si="6"/>
        <v>185.0292</v>
      </c>
      <c r="D25" s="22">
        <f t="shared" si="6"/>
        <v>322.11248399999999</v>
      </c>
      <c r="E25" s="22">
        <f t="shared" si="6"/>
        <v>1513.3267982321336</v>
      </c>
      <c r="F25" s="22">
        <f t="shared" si="6"/>
        <v>3690.4289095980762</v>
      </c>
      <c r="G25" s="22">
        <f t="shared" si="6"/>
        <v>6310.88354217696</v>
      </c>
      <c r="H25" s="22">
        <f t="shared" si="6"/>
        <v>8824.5805216990593</v>
      </c>
      <c r="I25" s="22">
        <f t="shared" si="6"/>
        <v>11247.139948543012</v>
      </c>
      <c r="J25" s="22">
        <f t="shared" si="6"/>
        <v>13593.904742731072</v>
      </c>
      <c r="K25" s="22">
        <f t="shared" si="6"/>
        <v>15880.155683350751</v>
      </c>
      <c r="L25" s="22">
        <f t="shared" si="6"/>
        <v>18121.336117633</v>
      </c>
      <c r="M25" s="22">
        <f t="shared" si="6"/>
        <v>20829.620139209339</v>
      </c>
      <c r="N25" s="22">
        <f t="shared" si="6"/>
        <v>28756.565132023796</v>
      </c>
      <c r="O25" s="22">
        <f t="shared" si="6"/>
        <v>37308.505289188768</v>
      </c>
      <c r="P25" s="22">
        <f t="shared" si="6"/>
        <v>45777.2688222902</v>
      </c>
      <c r="Q25" s="22">
        <f t="shared" si="6"/>
        <v>54191.12580729567</v>
      </c>
      <c r="R25" s="22">
        <f t="shared" si="6"/>
        <v>62580.275674580393</v>
      </c>
      <c r="S25" s="22">
        <f t="shared" si="6"/>
        <v>70977.397760021617</v>
      </c>
      <c r="T25" s="22">
        <f t="shared" si="6"/>
        <v>79418.267117714044</v>
      </c>
      <c r="U25" s="22">
        <f t="shared" si="6"/>
        <v>87942.448930952189</v>
      </c>
      <c r="V25" s="22">
        <f t="shared" si="6"/>
        <v>96594.086738090031</v>
      </c>
      <c r="W25" s="22">
        <f t="shared" si="6"/>
        <v>105422.80191116997</v>
      </c>
      <c r="X25" s="22">
        <f t="shared" si="6"/>
        <v>114484.72443967013</v>
      </c>
      <c r="Y25" s="22">
        <f t="shared" si="6"/>
        <v>123821.3417867634</v>
      </c>
      <c r="Z25" s="22">
        <f t="shared" si="6"/>
        <v>138925.9046731714</v>
      </c>
      <c r="AA25" s="22">
        <f t="shared" si="6"/>
        <v>157720.62840446571</v>
      </c>
      <c r="AB25" s="22">
        <f t="shared" si="6"/>
        <v>176915.82760327609</v>
      </c>
      <c r="AC25" s="22">
        <f t="shared" si="6"/>
        <v>196616.05970232975</v>
      </c>
      <c r="AD25" s="22">
        <f t="shared" si="6"/>
        <v>216943.02270419928</v>
      </c>
      <c r="AE25" s="22">
        <f t="shared" si="6"/>
        <v>238038.20194713076</v>
      </c>
      <c r="AF25" s="22">
        <f t="shared" si="6"/>
        <v>260065.9477300818</v>
      </c>
      <c r="AG25" s="22">
        <f t="shared" si="6"/>
        <v>283217.05226646404</v>
      </c>
      <c r="AH25" s="22">
        <f t="shared" si="6"/>
        <v>307712.90541879757</v>
      </c>
      <c r="AI25" s="22">
        <f t="shared" si="6"/>
        <v>333810.32140485378</v>
      </c>
      <c r="AJ25" s="22">
        <f t="shared" si="6"/>
        <v>361807.14344089327</v>
      </c>
      <c r="AK25" s="22">
        <f t="shared" si="6"/>
        <v>392048.75042523298</v>
      </c>
      <c r="AL25" s="22">
        <f>M25</f>
        <v>20829.620139209339</v>
      </c>
      <c r="AM25" s="22">
        <f>Y25</f>
        <v>123821.3417867634</v>
      </c>
      <c r="AN25" s="22">
        <f>AK25</f>
        <v>392048.75042523298</v>
      </c>
      <c r="AO25" t="s">
        <v>154</v>
      </c>
    </row>
    <row r="26" spans="1:41" s="37" customFormat="1" ht="15" customHeight="1" x14ac:dyDescent="0.2">
      <c r="A26" s="38" t="s">
        <v>155</v>
      </c>
      <c r="B26" s="34">
        <f t="shared" ref="B26:AK26" si="7">B25*12</f>
        <v>1437.1200000000001</v>
      </c>
      <c r="C26" s="34">
        <f t="shared" si="7"/>
        <v>2220.3504000000003</v>
      </c>
      <c r="D26" s="34">
        <f t="shared" si="7"/>
        <v>3865.3498079999999</v>
      </c>
      <c r="E26" s="34">
        <f t="shared" si="7"/>
        <v>18159.921578785601</v>
      </c>
      <c r="F26" s="34">
        <f t="shared" si="7"/>
        <v>44285.146915176912</v>
      </c>
      <c r="G26" s="34">
        <f t="shared" si="7"/>
        <v>75730.602506123512</v>
      </c>
      <c r="H26" s="34">
        <f t="shared" si="7"/>
        <v>105894.96626038871</v>
      </c>
      <c r="I26" s="34">
        <f t="shared" si="7"/>
        <v>134965.67938251613</v>
      </c>
      <c r="J26" s="34">
        <f t="shared" si="7"/>
        <v>163126.85691277287</v>
      </c>
      <c r="K26" s="34">
        <f t="shared" si="7"/>
        <v>190561.86820020902</v>
      </c>
      <c r="L26" s="34">
        <f t="shared" si="7"/>
        <v>217456.033411596</v>
      </c>
      <c r="M26" s="34">
        <f t="shared" si="7"/>
        <v>249955.44167051208</v>
      </c>
      <c r="N26" s="34">
        <f t="shared" si="7"/>
        <v>345078.78158428555</v>
      </c>
      <c r="O26" s="34">
        <f t="shared" si="7"/>
        <v>447702.06347026525</v>
      </c>
      <c r="P26" s="34">
        <f t="shared" si="7"/>
        <v>549327.22586748237</v>
      </c>
      <c r="Q26" s="34">
        <f t="shared" si="7"/>
        <v>650293.50968754804</v>
      </c>
      <c r="R26" s="34">
        <f t="shared" si="7"/>
        <v>750963.30809496471</v>
      </c>
      <c r="S26" s="34">
        <f t="shared" si="7"/>
        <v>851728.7731202594</v>
      </c>
      <c r="T26" s="34">
        <f t="shared" si="7"/>
        <v>953019.20541256852</v>
      </c>
      <c r="U26" s="34">
        <f t="shared" si="7"/>
        <v>1055309.3871714263</v>
      </c>
      <c r="V26" s="34">
        <f t="shared" si="7"/>
        <v>1159129.0408570804</v>
      </c>
      <c r="W26" s="34">
        <f t="shared" si="7"/>
        <v>1265073.6229340397</v>
      </c>
      <c r="X26" s="34">
        <f t="shared" si="7"/>
        <v>1373816.6932760417</v>
      </c>
      <c r="Y26" s="34">
        <f t="shared" si="7"/>
        <v>1485856.1014411608</v>
      </c>
      <c r="Z26" s="34">
        <f t="shared" si="7"/>
        <v>1667110.8560780569</v>
      </c>
      <c r="AA26" s="34">
        <f t="shared" si="7"/>
        <v>1892647.5408535884</v>
      </c>
      <c r="AB26" s="34">
        <f t="shared" si="7"/>
        <v>2122989.931239313</v>
      </c>
      <c r="AC26" s="34">
        <f t="shared" si="7"/>
        <v>2359392.7164279567</v>
      </c>
      <c r="AD26" s="34">
        <f t="shared" si="7"/>
        <v>2603316.2724503912</v>
      </c>
      <c r="AE26" s="34">
        <f t="shared" si="7"/>
        <v>2856458.4233655692</v>
      </c>
      <c r="AF26" s="34">
        <f t="shared" si="7"/>
        <v>3120791.3727609813</v>
      </c>
      <c r="AG26" s="34">
        <f t="shared" si="7"/>
        <v>3398604.6271975683</v>
      </c>
      <c r="AH26" s="34">
        <f t="shared" si="7"/>
        <v>3692554.8650255706</v>
      </c>
      <c r="AI26" s="34">
        <f t="shared" si="7"/>
        <v>4005723.8568582451</v>
      </c>
      <c r="AJ26" s="34">
        <f t="shared" si="7"/>
        <v>4341685.7212907188</v>
      </c>
      <c r="AK26" s="34">
        <f t="shared" si="7"/>
        <v>4704585.0051027955</v>
      </c>
      <c r="AL26" s="34">
        <f>M26</f>
        <v>249955.44167051208</v>
      </c>
      <c r="AM26" s="34">
        <f>Y26</f>
        <v>1485856.1014411608</v>
      </c>
      <c r="AN26" s="34">
        <f>AK26</f>
        <v>4704585.0051027955</v>
      </c>
    </row>
    <row r="28" spans="1:41" ht="15" customHeight="1" x14ac:dyDescent="0.2">
      <c r="A28" s="6" t="s">
        <v>156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s="37" customFormat="1" ht="15" customHeight="1" x14ac:dyDescent="0.2">
      <c r="A29" s="38" t="s">
        <v>157</v>
      </c>
      <c r="B29" s="34">
        <f>SUM(B18:B18)+SUM(B19:B19)</f>
        <v>119.76</v>
      </c>
      <c r="C29" s="34">
        <f>SUM(B18:C18)+SUM(B19:C19)</f>
        <v>304.78919999999999</v>
      </c>
      <c r="D29" s="34">
        <f>SUM(B18:D18)+SUM(B19:D19)</f>
        <v>626.90168399999993</v>
      </c>
      <c r="E29" s="34">
        <f>SUM(B18:E18)+SUM(B19:E19)</f>
        <v>2140.2284822321335</v>
      </c>
      <c r="F29" s="34">
        <f>SUM(B18:F18)+SUM(B19:F19)</f>
        <v>5830.6573918302092</v>
      </c>
      <c r="G29" s="34">
        <f>SUM(B18:G18)+SUM(B19:G19)</f>
        <v>11582.940934007169</v>
      </c>
      <c r="H29" s="34">
        <f>SUM(B18:H18)+SUM(B19:H19)</f>
        <v>19297.835713307057</v>
      </c>
      <c r="I29" s="34">
        <f>SUM(B18:I18)+SUM(B19:I19)</f>
        <v>28891.617353257479</v>
      </c>
      <c r="J29" s="34">
        <f>SUM(B18:J18)+SUM(B19:J19)</f>
        <v>40295.804675754785</v>
      </c>
      <c r="K29" s="34">
        <f>SUM(B18:K18)+SUM(B19:K19)</f>
        <v>53457.098901579717</v>
      </c>
      <c r="L29" s="34">
        <f>SUM(B18:L18)+SUM(B19:L19)</f>
        <v>68337.547541946144</v>
      </c>
      <c r="M29" s="34">
        <f t="shared" ref="M29:AK29" si="8">SUM(B18:M18)+SUM(B19:M19)</f>
        <v>85411.276450504549</v>
      </c>
      <c r="N29" s="34">
        <f t="shared" si="8"/>
        <v>106388.88749400828</v>
      </c>
      <c r="O29" s="34">
        <f t="shared" si="8"/>
        <v>133859.7005677094</v>
      </c>
      <c r="P29" s="34">
        <f t="shared" si="8"/>
        <v>167695.54100191969</v>
      </c>
      <c r="Q29" s="34">
        <f t="shared" si="8"/>
        <v>206813.82652875924</v>
      </c>
      <c r="R29" s="34">
        <f t="shared" si="8"/>
        <v>250230.06166838709</v>
      </c>
      <c r="S29" s="34">
        <f t="shared" si="8"/>
        <v>298093.21446454379</v>
      </c>
      <c r="T29" s="34">
        <f t="shared" si="8"/>
        <v>350571.67756633664</v>
      </c>
      <c r="U29" s="34">
        <f t="shared" si="8"/>
        <v>407857.54808107618</v>
      </c>
      <c r="V29" s="34">
        <f t="shared" si="8"/>
        <v>470171.48634656268</v>
      </c>
      <c r="W29" s="34">
        <f t="shared" si="8"/>
        <v>537768.25909903832</v>
      </c>
      <c r="X29" s="34">
        <f t="shared" si="8"/>
        <v>610943.08867285133</v>
      </c>
      <c r="Y29" s="34">
        <f t="shared" si="8"/>
        <v>689520.28283574397</v>
      </c>
      <c r="Z29" s="34">
        <f t="shared" si="8"/>
        <v>775364.34472995985</v>
      </c>
      <c r="AA29" s="34">
        <f t="shared" si="8"/>
        <v>869681.9125442605</v>
      </c>
      <c r="AB29" s="34">
        <f t="shared" si="8"/>
        <v>972980.43859947729</v>
      </c>
      <c r="AC29" s="34">
        <f t="shared" si="8"/>
        <v>1085843.342413778</v>
      </c>
      <c r="AD29" s="34">
        <f t="shared" si="8"/>
        <v>1208945.2262248725</v>
      </c>
      <c r="AE29" s="34">
        <f t="shared" si="8"/>
        <v>1343069.1866690186</v>
      </c>
      <c r="AF29" s="34">
        <f t="shared" si="8"/>
        <v>1489126.5882151916</v>
      </c>
      <c r="AG29" s="34">
        <f t="shared" si="8"/>
        <v>1648179.7190856328</v>
      </c>
      <c r="AH29" s="34">
        <f t="shared" si="8"/>
        <v>1821467.814629562</v>
      </c>
      <c r="AI29" s="34">
        <f t="shared" si="8"/>
        <v>2010437.0078695239</v>
      </c>
      <c r="AJ29" s="34">
        <f t="shared" si="8"/>
        <v>2216774.8538530865</v>
      </c>
      <c r="AK29" s="34">
        <f t="shared" si="8"/>
        <v>2442472.5117784338</v>
      </c>
    </row>
    <row r="30" spans="1:41" ht="15" customHeight="1" x14ac:dyDescent="0.2">
      <c r="A30" s="9" t="s">
        <v>158</v>
      </c>
      <c r="B30" s="22">
        <f>IF(B29&lt;Assumptions!E43,(B18+B19)*Assumptions!E41,(B18+B19)*Assumptions!E42)</f>
        <v>17.963999999999999</v>
      </c>
      <c r="C30" s="22">
        <f>IF(C29&lt;Assumptions!E43,(C18+C19)*Assumptions!E41,(C18+C19)*Assumptions!E42)</f>
        <v>27.754380000000001</v>
      </c>
      <c r="D30" s="22">
        <f>IF(D29&lt;Assumptions!E43,(D18+D19)*Assumptions!E41,(D18+D19)*Assumptions!E42)</f>
        <v>48.316872599999996</v>
      </c>
      <c r="E30" s="22">
        <f>IF(E29&lt;Assumptions!E43,(E18+E19)*Assumptions!E41,(E18+E19)*Assumptions!E42)</f>
        <v>226.99901973482002</v>
      </c>
      <c r="F30" s="22">
        <f>IF(F29&lt;Assumptions!E43,(F18+F19)*Assumptions!E41,(F18+F19)*Assumptions!E42)</f>
        <v>553.56433643971138</v>
      </c>
      <c r="G30" s="22">
        <f>IF(G29&lt;Assumptions!E43,(G18+G19)*Assumptions!E41,(G18+G19)*Assumptions!E42)</f>
        <v>862.84253132654396</v>
      </c>
      <c r="H30" s="22">
        <f>IF(H29&lt;Assumptions!E43,(H18+H19)*Assumptions!E41,(H18+H19)*Assumptions!E42)</f>
        <v>1157.2342168949833</v>
      </c>
      <c r="I30" s="22">
        <f>IF(I29&lt;Assumptions!E43,(I18+I19)*Assumptions!E41,(I18+I19)*Assumptions!E42)</f>
        <v>1439.0672459925634</v>
      </c>
      <c r="J30" s="22">
        <f>IF(J29&lt;Assumptions!E43,(J18+J19)*Assumptions!E41,(J18+J19)*Assumptions!E42)</f>
        <v>1710.6280983745953</v>
      </c>
      <c r="K30" s="22">
        <f>IF(K29&lt;Assumptions!E43,(K18+K19)*Assumptions!E41,(K18+K19)*Assumptions!E42)</f>
        <v>1974.1941338737399</v>
      </c>
      <c r="L30" s="22">
        <f>IF(L29&lt;Assumptions!E43,(L18+L19)*Assumptions!E41,(L18+L19)*Assumptions!E42)</f>
        <v>2232.0672960549646</v>
      </c>
      <c r="M30" s="22">
        <f>IF(M29&lt;Assumptions!E43,(M18+M19)*Assumptions!E41,(M18+M19)*Assumptions!E42)</f>
        <v>2561.0593362837585</v>
      </c>
      <c r="N30" s="22">
        <f>IF(N29&lt;Assumptions!E43,(N18+N19)*Assumptions!E41,(N18+N19)*Assumptions!E42)</f>
        <v>3164.6056565255617</v>
      </c>
      <c r="O30" s="22">
        <f>IF(O29&lt;Assumptions!E43,(O18+O19)*Assumptions!E41,(O18+O19)*Assumptions!E42)</f>
        <v>4148.3763410551664</v>
      </c>
      <c r="P30" s="22">
        <f>IF(P29&lt;Assumptions!E43,(P18+P19)*Assumptions!E41,(P18+P19)*Assumptions!E42)</f>
        <v>5123.6929377315455</v>
      </c>
      <c r="Q30" s="22">
        <f>IF(Q29&lt;Assumptions!E43,(Q18+Q19)*Assumptions!E41,(Q18+Q19)*Assumptions!E42)</f>
        <v>6094.7418487607438</v>
      </c>
      <c r="R30" s="22">
        <f>IF(R29&lt;Assumptions!E43,(R18+R19)*Assumptions!E41,(R18+R19)*Assumptions!E42)</f>
        <v>7065.999607383892</v>
      </c>
      <c r="S30" s="22">
        <f>IF(S29&lt;Assumptions!E43,(S18+S19)*Assumptions!E41,(S18+S19)*Assumptions!E42)</f>
        <v>8042.3154507500522</v>
      </c>
      <c r="T30" s="22">
        <f>IF(T29&lt;Assumptions!E43,(T18+T19)*Assumptions!E41,(T18+T19)*Assumptions!E42)</f>
        <v>9029.0036821639133</v>
      </c>
      <c r="U30" s="22">
        <f>IF(U29&lt;Assumptions!E43,(U18+U19)*Assumptions!E41,(U18+U19)*Assumptions!E42)</f>
        <v>10031.947823203489</v>
      </c>
      <c r="V30" s="22">
        <f>IF(V29&lt;Assumptions!E43,(V18+V19)*Assumptions!E41,(V18+V19)*Assumptions!E42)</f>
        <v>11057.718838197572</v>
      </c>
      <c r="W30" s="22">
        <f>IF(W29&lt;Assumptions!E43,(W18+W19)*Assumptions!E41,(W18+W19)*Assumptions!E42)</f>
        <v>12113.710046745084</v>
      </c>
      <c r="X30" s="22">
        <f>IF(X29&lt;Assumptions!E43,(X18+X19)*Assumptions!E41,(X18+X19)*Assumptions!E42)</f>
        <v>13208.291732126918</v>
      </c>
      <c r="Y30" s="22">
        <f>IF(Y29&lt;Assumptions!E43,(Y18+Y19)*Assumptions!E41,(Y18+Y19)*Assumptions!E42)</f>
        <v>14347.638460717659</v>
      </c>
      <c r="Z30" s="22">
        <f>IF(Z29&lt;Assumptions!E43,(Z18+Z19)*Assumptions!E41,(Z18+Z19)*Assumptions!E42)</f>
        <v>16041.214940657943</v>
      </c>
      <c r="AA30" s="22">
        <f>IF(AA29&lt;Assumptions!E43,(AA18+AA19)*Assumptions!E41,(AA18+AA19)*Assumptions!E42)</f>
        <v>18296.011513200276</v>
      </c>
      <c r="AB30" s="22">
        <f>IF(AB29&lt;Assumptions!E43,(AB18+AB19)*Assumptions!E41,(AB18+AB19)*Assumptions!E42)</f>
        <v>20618.47184601405</v>
      </c>
      <c r="AC30" s="22">
        <f>IF(AC29&lt;Assumptions!E43,(AC18+AC19)*Assumptions!E41,(AC18+AC19)*Assumptions!E42)</f>
        <v>23024.177420905839</v>
      </c>
      <c r="AD30" s="22">
        <f>IF(AD29&lt;Assumptions!E43,(AD18+AD19)*Assumptions!E41,(AD18+AD19)*Assumptions!E42)</f>
        <v>51062.564358096206</v>
      </c>
      <c r="AE30" s="22">
        <f>IF(AE29&lt;Assumptions!E43,(AE18+AE19)*Assumptions!E41,(AE18+AE19)*Assumptions!E42)</f>
        <v>56321.819034743858</v>
      </c>
      <c r="AF30" s="22">
        <f>IF(AF29&lt;Assumptions!E43,(AF18+AF19)*Assumptions!E41,(AF18+AF19)*Assumptions!E42)</f>
        <v>61875.227828179726</v>
      </c>
      <c r="AG30" s="22">
        <f>IF(AG29&lt;Assumptions!E43,(AG18+AG19)*Assumptions!E41,(AG18+AG19)*Assumptions!E42)</f>
        <v>67779.834907539363</v>
      </c>
      <c r="AH30" s="22">
        <f>IF(AH29&lt;Assumptions!E43,(AH18+AH19)*Assumptions!E41,(AH18+AH19)*Assumptions!E42)</f>
        <v>74101.866339573855</v>
      </c>
      <c r="AI30" s="22">
        <f>IF(AI29&lt;Assumptions!E43,(AI18+AI19)*Assumptions!E41,(AI18+AI19)*Assumptions!E42)</f>
        <v>80918.178065478729</v>
      </c>
      <c r="AJ30" s="22">
        <f>IF(AJ29&lt;Assumptions!E43,(AJ18+AJ19)*Assumptions!E41,(AJ18+AJ19)*Assumptions!E42)</f>
        <v>88317.937259322687</v>
      </c>
      <c r="AK30" s="22">
        <f>IF(AK29&lt;Assumptions!E43,(AK18+AK19)*Assumptions!E41,(AK18+AK19)*Assumptions!E42)</f>
        <v>96404.574299039392</v>
      </c>
      <c r="AL30" s="22">
        <f t="shared" ref="AL30:AL42" si="9">SUM(B30:M30)</f>
        <v>12811.69146757568</v>
      </c>
      <c r="AM30" s="22">
        <f t="shared" ref="AM30:AM42" si="10">SUM(N30:Y30)</f>
        <v>103428.04242536159</v>
      </c>
      <c r="AN30" s="22">
        <f t="shared" ref="AN30:AN42" si="11">SUM(Z30:AK30)</f>
        <v>654761.87781275203</v>
      </c>
      <c r="AO30" t="s">
        <v>159</v>
      </c>
    </row>
    <row r="31" spans="1:41" ht="15" customHeight="1" x14ac:dyDescent="0.2">
      <c r="A31" s="9" t="s">
        <v>160</v>
      </c>
      <c r="B31" s="22">
        <f>B20*Assumptions!E44</f>
        <v>0</v>
      </c>
      <c r="C31" s="22">
        <f>C20*Assumptions!E44</f>
        <v>0</v>
      </c>
      <c r="D31" s="22">
        <f>D20*Assumptions!E44</f>
        <v>0</v>
      </c>
      <c r="E31" s="22">
        <f>E20*Assumptions!E44</f>
        <v>0</v>
      </c>
      <c r="F31" s="22">
        <f>F20*Assumptions!E44</f>
        <v>0</v>
      </c>
      <c r="G31" s="22">
        <f>G20*Assumptions!E44</f>
        <v>7.8204000000000002</v>
      </c>
      <c r="H31" s="22">
        <f>H20*Assumptions!E44</f>
        <v>15.535600393588378</v>
      </c>
      <c r="I31" s="22">
        <f>I20*Assumptions!E44</f>
        <v>23.147016320296256</v>
      </c>
      <c r="J31" s="22">
        <f>J20*Assumptions!E44</f>
        <v>30.656043883272769</v>
      </c>
      <c r="K31" s="22">
        <f>K20*Assumptions!E44</f>
        <v>38.064060405361452</v>
      </c>
      <c r="L31" s="22">
        <f>L20*Assumptions!E44</f>
        <v>45.372424681731957</v>
      </c>
      <c r="M31" s="22">
        <f>M20*Assumptions!E44</f>
        <v>52.582477229113287</v>
      </c>
      <c r="N31" s="22">
        <f>N20*Assumptions!E44</f>
        <v>107.22871723928068</v>
      </c>
      <c r="O31" s="22">
        <f>O20*Assumptions!E44</f>
        <v>135.1372822168272</v>
      </c>
      <c r="P31" s="22">
        <f>P20*Assumptions!E44</f>
        <v>162.67042265711848</v>
      </c>
      <c r="Q31" s="22">
        <f>Q20*Assumptions!E44</f>
        <v>189.83318875113659</v>
      </c>
      <c r="R31" s="22">
        <f>R20*Assumptions!E44</f>
        <v>216.6305627549622</v>
      </c>
      <c r="S31" s="22">
        <f>S20*Assumptions!E44</f>
        <v>243.06745990363109</v>
      </c>
      <c r="T31" s="22">
        <f>T20*Assumptions!E44</f>
        <v>269.14872931269792</v>
      </c>
      <c r="U31" s="22">
        <f>U20*Assumptions!E44</f>
        <v>294.87915486767162</v>
      </c>
      <c r="V31" s="22">
        <f>V20*Assumptions!E44</f>
        <v>320.26345610148701</v>
      </c>
      <c r="W31" s="22">
        <f>W20*Assumptions!E44</f>
        <v>345.30628906017182</v>
      </c>
      <c r="X31" s="22">
        <f>X20*Assumptions!E44</f>
        <v>370.01224715686931</v>
      </c>
      <c r="Y31" s="22">
        <f>Y20*Assumptions!E44</f>
        <v>394.38586201437261</v>
      </c>
      <c r="Z31" s="22">
        <f>Z20*Assumptions!E44</f>
        <v>447.78260429632502</v>
      </c>
      <c r="AA31" s="22">
        <f>AA20*Assumptions!E44</f>
        <v>500.46105643049418</v>
      </c>
      <c r="AB31" s="22">
        <f>AB20*Assumptions!E44</f>
        <v>552.43088081788721</v>
      </c>
      <c r="AC31" s="22">
        <f>AC20*Assumptions!E44</f>
        <v>603.70160988140503</v>
      </c>
      <c r="AD31" s="22">
        <f>AD20*Assumptions!E44</f>
        <v>654.28264781430039</v>
      </c>
      <c r="AE31" s="22">
        <f>AE20*Assumptions!E44</f>
        <v>704.18327230511716</v>
      </c>
      <c r="AF31" s="22">
        <f>AF20*Assumptions!E44</f>
        <v>753.41263623942439</v>
      </c>
      <c r="AG31" s="22">
        <f>AG20*Assumptions!E44</f>
        <v>801.97976937865917</v>
      </c>
      <c r="AH31" s="22">
        <f>AH20*Assumptions!E44</f>
        <v>849.89358001638652</v>
      </c>
      <c r="AI31" s="22">
        <f>AI20*Assumptions!E44</f>
        <v>897.16285661227869</v>
      </c>
      <c r="AJ31" s="22">
        <f>AJ20*Assumptions!E44</f>
        <v>943.79626940411333</v>
      </c>
      <c r="AK31" s="22">
        <f>AK20*Assumptions!E44</f>
        <v>989.80237199808948</v>
      </c>
      <c r="AL31" s="22">
        <f t="shared" si="9"/>
        <v>213.17802291336412</v>
      </c>
      <c r="AM31" s="22">
        <f t="shared" si="10"/>
        <v>3048.5633720362266</v>
      </c>
      <c r="AN31" s="22">
        <f t="shared" si="11"/>
        <v>8698.8895551944806</v>
      </c>
    </row>
    <row r="32" spans="1:41" ht="15" customHeight="1" x14ac:dyDescent="0.2">
      <c r="A32" s="9" t="s">
        <v>161</v>
      </c>
      <c r="B32" s="22">
        <f>0</f>
        <v>0</v>
      </c>
      <c r="C32" s="22">
        <f>0</f>
        <v>0</v>
      </c>
      <c r="D32" s="22">
        <f>0</f>
        <v>0</v>
      </c>
      <c r="E32" s="22">
        <f>0</f>
        <v>0</v>
      </c>
      <c r="F32" s="22">
        <f>0</f>
        <v>0</v>
      </c>
      <c r="G32" s="22">
        <f>MIN(Assumptions!E48,Assumptions!E46+(G15/500)*Assumptions!E47)</f>
        <v>549.3995249222852</v>
      </c>
      <c r="H32" s="22">
        <f>MIN(Assumptions!E48,Assumptions!E46+(H15/500)*Assumptions!E47)</f>
        <v>601.62636743076655</v>
      </c>
      <c r="I32" s="22">
        <f>MIN(Assumptions!E48,Assumptions!E46+(I15/500)*Assumptions!E47)</f>
        <v>652.14316311530433</v>
      </c>
      <c r="J32" s="22">
        <f>MIN(Assumptions!E48,Assumptions!E46+(J15/500)*Assumptions!E47)</f>
        <v>701.25618053626954</v>
      </c>
      <c r="K32" s="22">
        <f>MIN(Assumptions!E48,Assumptions!E46+(K15/500)*Assumptions!E47)</f>
        <v>749.27262907344266</v>
      </c>
      <c r="L32" s="22">
        <f>MIN(Assumptions!E48,Assumptions!E46+(L15/500)*Assumptions!E47)</f>
        <v>796.50527929837938</v>
      </c>
      <c r="M32" s="22">
        <f>MIN(Assumptions!E48,Assumptions!E46+(M15/500)*Assumptions!E47)</f>
        <v>843.27740560152915</v>
      </c>
      <c r="N32" s="22">
        <f>MIN(Assumptions!E48,Assumptions!E46+(N15/500)*Assumptions!E47)</f>
        <v>1001.0887141327279</v>
      </c>
      <c r="O32" s="22">
        <f>MIN(Assumptions!E48,Assumptions!E46+(O15/500)*Assumptions!E47)</f>
        <v>1154.4241494593898</v>
      </c>
      <c r="P32" s="22">
        <f>MIN(Assumptions!E48,Assumptions!E46+(P15/500)*Assumptions!E47)</f>
        <v>1304.0470350566361</v>
      </c>
      <c r="Q32" s="22">
        <f>MIN(Assumptions!E48,Assumptions!E46+(Q15/500)*Assumptions!E47)</f>
        <v>1450.7262832940712</v>
      </c>
      <c r="R32" s="22">
        <f>MIN(Assumptions!E48,Assumptions!E46+(R15/500)*Assumptions!E47)</f>
        <v>1595.2479546870341</v>
      </c>
      <c r="S32" s="22">
        <f>MIN(Assumptions!E48,Assumptions!E46+(S15/500)*Assumptions!E47)</f>
        <v>1738.4276717363166</v>
      </c>
      <c r="T32" s="22">
        <f>MIN(Assumptions!E48,Assumptions!E46+(T15/500)*Assumptions!E47)</f>
        <v>1881.1241315967391</v>
      </c>
      <c r="U32" s="22">
        <f>MIN(Assumptions!E48,Assumptions!E46+(U15/500)*Assumptions!E47)</f>
        <v>2024.2539906951599</v>
      </c>
      <c r="V32" s="22">
        <f>MIN(Assumptions!E48,Assumptions!E46+(V15/500)*Assumptions!E47)</f>
        <v>2168.8084292188482</v>
      </c>
      <c r="W32" s="22">
        <f>MIN(Assumptions!E48,Assumptions!E46+(W15/500)*Assumptions!E47)</f>
        <v>2315.8717449491519</v>
      </c>
      <c r="X32" s="22">
        <f>MIN(Assumptions!E48,Assumptions!E46+(X15/500)*Assumptions!E47)</f>
        <v>2466.642375208372</v>
      </c>
      <c r="Y32" s="22">
        <f>MIN(Assumptions!E48,Assumptions!E46+(Y15/500)*Assumptions!E47)</f>
        <v>2621.5615592551421</v>
      </c>
      <c r="Z32" s="22">
        <f>MIN(Assumptions!E48,Assumptions!E46+(Z15/500)*Assumptions!E47)</f>
        <v>2951.2690299039868</v>
      </c>
      <c r="AA32" s="22">
        <f>MIN(Assumptions!E48,Assumptions!E46+(AA15/500)*Assumptions!E47)</f>
        <v>3283.2038133122555</v>
      </c>
      <c r="AB32" s="22">
        <f>MIN(Assumptions!E48,Assumptions!E46+(AB15/500)*Assumptions!E47)</f>
        <v>3500</v>
      </c>
      <c r="AC32" s="22">
        <f>MIN(Assumptions!E48,Assumptions!E46+(AC15/500)*Assumptions!E47)</f>
        <v>3500</v>
      </c>
      <c r="AD32" s="22">
        <f>MIN(Assumptions!E48,Assumptions!E46+(AD15/500)*Assumptions!E47)</f>
        <v>3500</v>
      </c>
      <c r="AE32" s="22">
        <f>MIN(Assumptions!E48,Assumptions!E46+(AE15/500)*Assumptions!E47)</f>
        <v>3500</v>
      </c>
      <c r="AF32" s="22">
        <f>MIN(Assumptions!E48,Assumptions!E46+(AF15/500)*Assumptions!E47)</f>
        <v>3500</v>
      </c>
      <c r="AG32" s="22">
        <f>MIN(Assumptions!E48,Assumptions!E46+(AG15/500)*Assumptions!E47)</f>
        <v>3500</v>
      </c>
      <c r="AH32" s="22">
        <f>MIN(Assumptions!E48,Assumptions!E46+(AH15/500)*Assumptions!E47)</f>
        <v>3500</v>
      </c>
      <c r="AI32" s="22">
        <f>MIN(Assumptions!E48,Assumptions!E46+(AI15/500)*Assumptions!E47)</f>
        <v>3500</v>
      </c>
      <c r="AJ32" s="22">
        <f>MIN(Assumptions!E48,Assumptions!E46+(AJ15/500)*Assumptions!E47)</f>
        <v>3500</v>
      </c>
      <c r="AK32" s="22">
        <f>MIN(Assumptions!E48,Assumptions!E46+(AK15/500)*Assumptions!E47)</f>
        <v>3500</v>
      </c>
      <c r="AL32" s="22">
        <f t="shared" si="9"/>
        <v>4893.4805499779768</v>
      </c>
      <c r="AM32" s="22">
        <f t="shared" si="10"/>
        <v>21722.224039289591</v>
      </c>
      <c r="AN32" s="22">
        <f t="shared" si="11"/>
        <v>41234.472843216245</v>
      </c>
    </row>
    <row r="33" spans="1:41" ht="15" customHeight="1" x14ac:dyDescent="0.2">
      <c r="A33" s="9" t="s">
        <v>162</v>
      </c>
      <c r="B33" s="22">
        <f>80</f>
        <v>80</v>
      </c>
      <c r="C33" s="22">
        <f>80</f>
        <v>80</v>
      </c>
      <c r="D33" s="22">
        <f>MIN(Assumptions!E71,Assumptions!E69+(D15/400)*Assumptions!E70)</f>
        <v>729.6037</v>
      </c>
      <c r="E33" s="22">
        <f>MIN(Assumptions!E71,Assumptions!E69+(E15/400)*Assumptions!E70)</f>
        <v>897.85022759000003</v>
      </c>
      <c r="F33" s="22">
        <f>MIN(Assumptions!E71,Assumptions!E69+(F15/400)*Assumptions!E70)</f>
        <v>1056.8234562173261</v>
      </c>
      <c r="G33" s="22">
        <f>MIN(Assumptions!E71,Assumptions!E69+(G15/400)*Assumptions!E70)</f>
        <v>1260.2482184585697</v>
      </c>
      <c r="H33" s="22">
        <f>MIN(Assumptions!E71,Assumptions!E69+(H15/400)*Assumptions!E70)</f>
        <v>1456.0988778653746</v>
      </c>
      <c r="I33" s="22">
        <f>MIN(Assumptions!E71,Assumptions!E69+(I15/400)*Assumptions!E70)</f>
        <v>1645.5368616823912</v>
      </c>
      <c r="J33" s="22">
        <f>MIN(Assumptions!E71,Assumptions!E69+(J15/400)*Assumptions!E70)</f>
        <v>1829.7106770110106</v>
      </c>
      <c r="K33" s="22">
        <f>MIN(Assumptions!E71,Assumptions!E69+(K15/400)*Assumptions!E70)</f>
        <v>2009.77235902541</v>
      </c>
      <c r="L33" s="22">
        <f>MIN(Assumptions!E71,Assumptions!E69+(L15/400)*Assumptions!E70)</f>
        <v>2186.8947973689228</v>
      </c>
      <c r="M33" s="22">
        <f>MIN(Assumptions!E71,Assumptions!E69+(M15/400)*Assumptions!E70)</f>
        <v>2362.2902710057342</v>
      </c>
      <c r="N33" s="22">
        <f>MIN(Assumptions!E71,Assumptions!E69+(N15/400)*Assumptions!E70)</f>
        <v>2954.0826779977297</v>
      </c>
      <c r="O33" s="22">
        <f>MIN(Assumptions!E71,Assumptions!E69+(O15/400)*Assumptions!E70)</f>
        <v>3529.0905604727122</v>
      </c>
      <c r="P33" s="22">
        <f>MIN(Assumptions!E71,Assumptions!E69+(P15/400)*Assumptions!E70)</f>
        <v>4090.1763814623855</v>
      </c>
      <c r="Q33" s="22">
        <f>MIN(Assumptions!E71,Assumptions!E69+(Q15/400)*Assumptions!E70)</f>
        <v>4640.2235623527667</v>
      </c>
      <c r="R33" s="22">
        <f>MIN(Assumptions!E71,Assumptions!E69+(R15/400)*Assumptions!E70)</f>
        <v>5182.1798300763785</v>
      </c>
      <c r="S33" s="22">
        <f>MIN(Assumptions!E71,Assumptions!E69+(S15/400)*Assumptions!E70)</f>
        <v>5719.1037690111862</v>
      </c>
      <c r="T33" s="22">
        <f>MIN(Assumptions!E71,Assumptions!E69+(T15/400)*Assumptions!E70)</f>
        <v>6254.2154934877717</v>
      </c>
      <c r="U33" s="22">
        <f>MIN(Assumptions!E71,Assumptions!E69+(U15/400)*Assumptions!E70)</f>
        <v>6790.9524651068486</v>
      </c>
      <c r="V33" s="22">
        <f>MIN(Assumptions!E71,Assumptions!E69+(V15/400)*Assumptions!E70)</f>
        <v>7333.0316095706803</v>
      </c>
      <c r="W33" s="22">
        <f>MIN(Assumptions!E71,Assumptions!E69+(W15/400)*Assumptions!E70)</f>
        <v>7884.5190435593195</v>
      </c>
      <c r="X33" s="22">
        <f>MIN(Assumptions!E71,Assumptions!E69+(X15/400)*Assumptions!E70)</f>
        <v>8449.9089070313948</v>
      </c>
      <c r="Y33" s="22">
        <f>MIN(Assumptions!E71,Assumptions!E69+(Y15/400)*Assumptions!E70)</f>
        <v>9030.8558472067816</v>
      </c>
      <c r="Z33" s="22">
        <f>MIN(Assumptions!E71,Assumptions!E69+(Z15/400)*Assumptions!E70)</f>
        <v>10267.25886213995</v>
      </c>
      <c r="AA33" s="22">
        <f>MIN(Assumptions!E71,Assumptions!E69+(AA15/400)*Assumptions!E70)</f>
        <v>11512.014299920957</v>
      </c>
      <c r="AB33" s="22">
        <f>MIN(Assumptions!E71,Assumptions!E69+(AB15/400)*Assumptions!E70)</f>
        <v>12772.938098035809</v>
      </c>
      <c r="AC33" s="22">
        <f>MIN(Assumptions!E71,Assumptions!E69+(AC15/400)*Assumptions!E70)</f>
        <v>14058.830135855729</v>
      </c>
      <c r="AD33" s="22">
        <f>MIN(Assumptions!E71,Assumptions!E69+(AD15/400)*Assumptions!E70)</f>
        <v>15379.644018819015</v>
      </c>
      <c r="AE33" s="22">
        <f>MIN(Assumptions!E71,Assumptions!E69+(AE15/400)*Assumptions!E70)</f>
        <v>16746.683412786861</v>
      </c>
      <c r="AF33" s="22">
        <f>MIN(Assumptions!E71,Assumptions!E69+(AF15/400)*Assumptions!E70)</f>
        <v>18000</v>
      </c>
      <c r="AG33" s="22">
        <f>MIN(Assumptions!E71,Assumptions!E69+(AG15/400)*Assumptions!E70)</f>
        <v>18000</v>
      </c>
      <c r="AH33" s="22">
        <f>MIN(Assumptions!E71,Assumptions!E69+(AH15/400)*Assumptions!E70)</f>
        <v>18000</v>
      </c>
      <c r="AI33" s="22">
        <f>MIN(Assumptions!E71,Assumptions!E69+(AI15/400)*Assumptions!E70)</f>
        <v>18000</v>
      </c>
      <c r="AJ33" s="22">
        <f>MIN(Assumptions!E71,Assumptions!E69+(AJ15/400)*Assumptions!E70)</f>
        <v>18000</v>
      </c>
      <c r="AK33" s="22">
        <f>MIN(Assumptions!E71,Assumptions!E69+(AK15/400)*Assumptions!E70)</f>
        <v>18000</v>
      </c>
      <c r="AL33" s="22">
        <f t="shared" si="9"/>
        <v>15594.82944622474</v>
      </c>
      <c r="AM33" s="22">
        <f t="shared" si="10"/>
        <v>71858.340147335955</v>
      </c>
      <c r="AN33" s="22">
        <f t="shared" si="11"/>
        <v>188737.36882755833</v>
      </c>
    </row>
    <row r="34" spans="1:41" ht="15" customHeight="1" x14ac:dyDescent="0.2">
      <c r="A34" s="9" t="s">
        <v>163</v>
      </c>
      <c r="B34" s="22">
        <v>900</v>
      </c>
      <c r="C34" s="22">
        <v>900</v>
      </c>
      <c r="D34" s="22">
        <v>900</v>
      </c>
      <c r="E34" s="22">
        <v>900</v>
      </c>
      <c r="F34" s="22">
        <v>900</v>
      </c>
      <c r="G34" s="22">
        <v>900</v>
      </c>
      <c r="H34" s="22">
        <v>900</v>
      </c>
      <c r="I34" s="22">
        <v>900</v>
      </c>
      <c r="J34" s="22">
        <v>900</v>
      </c>
      <c r="K34" s="22">
        <v>900</v>
      </c>
      <c r="L34" s="22">
        <v>900</v>
      </c>
      <c r="M34" s="22">
        <v>900</v>
      </c>
      <c r="N34" s="22">
        <f>Assumptions!E55</f>
        <v>6000</v>
      </c>
      <c r="O34" s="22">
        <f>Assumptions!E55</f>
        <v>6000</v>
      </c>
      <c r="P34" s="22">
        <f>Assumptions!E55</f>
        <v>6000</v>
      </c>
      <c r="Q34" s="22">
        <f>Assumptions!E55</f>
        <v>6000</v>
      </c>
      <c r="R34" s="22">
        <f>Assumptions!E55</f>
        <v>6000</v>
      </c>
      <c r="S34" s="22">
        <f>Assumptions!E55</f>
        <v>6000</v>
      </c>
      <c r="T34" s="22">
        <f>Assumptions!E55</f>
        <v>6000</v>
      </c>
      <c r="U34" s="22">
        <f>Assumptions!E55</f>
        <v>6000</v>
      </c>
      <c r="V34" s="22">
        <f>Assumptions!E55</f>
        <v>6000</v>
      </c>
      <c r="W34" s="22">
        <f>Assumptions!E55</f>
        <v>6000</v>
      </c>
      <c r="X34" s="22">
        <f>Assumptions!E55</f>
        <v>6000</v>
      </c>
      <c r="Y34" s="22">
        <f>Assumptions!E55</f>
        <v>6000</v>
      </c>
      <c r="Z34" s="22">
        <f>Assumptions!E55</f>
        <v>6000</v>
      </c>
      <c r="AA34" s="22">
        <f>Assumptions!E55</f>
        <v>6000</v>
      </c>
      <c r="AB34" s="22">
        <f>Assumptions!E55</f>
        <v>6000</v>
      </c>
      <c r="AC34" s="22">
        <f>Assumptions!E55</f>
        <v>6000</v>
      </c>
      <c r="AD34" s="22">
        <f>Assumptions!E55</f>
        <v>6000</v>
      </c>
      <c r="AE34" s="22">
        <f>Assumptions!E55</f>
        <v>6000</v>
      </c>
      <c r="AF34" s="22">
        <f>Assumptions!E55</f>
        <v>6000</v>
      </c>
      <c r="AG34" s="22">
        <f>Assumptions!E55</f>
        <v>6000</v>
      </c>
      <c r="AH34" s="22">
        <f>Assumptions!E55</f>
        <v>6000</v>
      </c>
      <c r="AI34" s="22">
        <f>Assumptions!E55</f>
        <v>6000</v>
      </c>
      <c r="AJ34" s="22">
        <f>Assumptions!E55</f>
        <v>6000</v>
      </c>
      <c r="AK34" s="22">
        <f>Assumptions!E55</f>
        <v>6000</v>
      </c>
      <c r="AL34" s="22">
        <f t="shared" si="9"/>
        <v>10800</v>
      </c>
      <c r="AM34" s="22">
        <f t="shared" si="10"/>
        <v>72000</v>
      </c>
      <c r="AN34" s="22">
        <f t="shared" si="11"/>
        <v>72000</v>
      </c>
    </row>
    <row r="35" spans="1:41" ht="15" customHeight="1" x14ac:dyDescent="0.2">
      <c r="A35" s="9" t="s">
        <v>164</v>
      </c>
      <c r="B35" s="22">
        <f>0</f>
        <v>0</v>
      </c>
      <c r="C35" s="22">
        <f>0</f>
        <v>0</v>
      </c>
      <c r="D35" s="22">
        <f>Assumptions!E56</f>
        <v>7000</v>
      </c>
      <c r="E35" s="22">
        <f>Assumptions!E56</f>
        <v>7000</v>
      </c>
      <c r="F35" s="22">
        <f>Assumptions!E56</f>
        <v>7000</v>
      </c>
      <c r="G35" s="22">
        <f>Assumptions!E56</f>
        <v>7000</v>
      </c>
      <c r="H35" s="22">
        <f>Assumptions!E57</f>
        <v>13000</v>
      </c>
      <c r="I35" s="22">
        <f>Assumptions!E57</f>
        <v>13000</v>
      </c>
      <c r="J35" s="22">
        <f>Assumptions!E57</f>
        <v>13000</v>
      </c>
      <c r="K35" s="22">
        <f>Assumptions!E57</f>
        <v>13000</v>
      </c>
      <c r="L35" s="22">
        <f>Assumptions!E57</f>
        <v>13000</v>
      </c>
      <c r="M35" s="22">
        <f>Assumptions!E57</f>
        <v>13000</v>
      </c>
      <c r="N35" s="22">
        <f>Assumptions!E58</f>
        <v>46000</v>
      </c>
      <c r="O35" s="22">
        <f>Assumptions!E58</f>
        <v>46000</v>
      </c>
      <c r="P35" s="22">
        <f>Assumptions!E58</f>
        <v>46000</v>
      </c>
      <c r="Q35" s="22">
        <f>Assumptions!E58</f>
        <v>46000</v>
      </c>
      <c r="R35" s="22">
        <f>Assumptions!E58</f>
        <v>46000</v>
      </c>
      <c r="S35" s="22">
        <f>Assumptions!E58</f>
        <v>46000</v>
      </c>
      <c r="T35" s="22">
        <f>Assumptions!E58</f>
        <v>46000</v>
      </c>
      <c r="U35" s="22">
        <f>Assumptions!E58</f>
        <v>46000</v>
      </c>
      <c r="V35" s="22">
        <f>Assumptions!E58</f>
        <v>46000</v>
      </c>
      <c r="W35" s="22">
        <f>Assumptions!E58</f>
        <v>46000</v>
      </c>
      <c r="X35" s="22">
        <f>Assumptions!E58</f>
        <v>46000</v>
      </c>
      <c r="Y35" s="22">
        <f>Assumptions!E58</f>
        <v>46000</v>
      </c>
      <c r="Z35" s="22">
        <f>Assumptions!E59</f>
        <v>105000</v>
      </c>
      <c r="AA35" s="22">
        <f>Assumptions!E59</f>
        <v>105000</v>
      </c>
      <c r="AB35" s="22">
        <f>Assumptions!E59</f>
        <v>105000</v>
      </c>
      <c r="AC35" s="22">
        <f>Assumptions!E59</f>
        <v>105000</v>
      </c>
      <c r="AD35" s="22">
        <f>Assumptions!E59</f>
        <v>105000</v>
      </c>
      <c r="AE35" s="22">
        <f>Assumptions!E59</f>
        <v>105000</v>
      </c>
      <c r="AF35" s="22">
        <f>Assumptions!E59</f>
        <v>105000</v>
      </c>
      <c r="AG35" s="22">
        <f>Assumptions!E59</f>
        <v>105000</v>
      </c>
      <c r="AH35" s="22">
        <f>Assumptions!E59</f>
        <v>105000</v>
      </c>
      <c r="AI35" s="22">
        <f>Assumptions!E59</f>
        <v>105000</v>
      </c>
      <c r="AJ35" s="22">
        <f>Assumptions!E59</f>
        <v>105000</v>
      </c>
      <c r="AK35" s="22">
        <f>Assumptions!E59</f>
        <v>105000</v>
      </c>
      <c r="AL35" s="22">
        <f t="shared" si="9"/>
        <v>106000</v>
      </c>
      <c r="AM35" s="22">
        <f t="shared" si="10"/>
        <v>552000</v>
      </c>
      <c r="AN35" s="22">
        <f t="shared" si="11"/>
        <v>1260000</v>
      </c>
    </row>
    <row r="36" spans="1:41" ht="15" customHeight="1" x14ac:dyDescent="0.2">
      <c r="A36" s="9" t="s">
        <v>165</v>
      </c>
      <c r="B36" s="22">
        <f>Assumptions!E60</f>
        <v>2000</v>
      </c>
      <c r="C36" s="22">
        <f>Assumptions!E60</f>
        <v>2000</v>
      </c>
      <c r="D36" s="22">
        <f>Assumptions!E60</f>
        <v>2000</v>
      </c>
      <c r="E36" s="22">
        <f>Assumptions!E60+Assumptions!E12</f>
        <v>7000</v>
      </c>
      <c r="F36" s="22">
        <f>Assumptions!E60+Assumptions!E12</f>
        <v>7000</v>
      </c>
      <c r="G36" s="22">
        <f>Assumptions!E60+Assumptions!E12</f>
        <v>7000</v>
      </c>
      <c r="H36" s="22">
        <f>Assumptions!E60+Assumptions!E12</f>
        <v>7000</v>
      </c>
      <c r="I36" s="22">
        <f>Assumptions!E60+Assumptions!E12</f>
        <v>7000</v>
      </c>
      <c r="J36" s="22">
        <f>Assumptions!E60+Assumptions!E12</f>
        <v>7000</v>
      </c>
      <c r="K36" s="22">
        <f>Assumptions!E60+Assumptions!E12</f>
        <v>7000</v>
      </c>
      <c r="L36" s="22">
        <f>Assumptions!E60+Assumptions!E12</f>
        <v>7000</v>
      </c>
      <c r="M36" s="22">
        <f>Assumptions!E60+Assumptions!E12</f>
        <v>7000</v>
      </c>
      <c r="N36" s="22">
        <f>Assumptions!E61+Assumptions!E13</f>
        <v>21000</v>
      </c>
      <c r="O36" s="22">
        <f>Assumptions!E61+Assumptions!E13</f>
        <v>21000</v>
      </c>
      <c r="P36" s="22">
        <f>Assumptions!E61+Assumptions!E13</f>
        <v>21000</v>
      </c>
      <c r="Q36" s="22">
        <f>Assumptions!E61+Assumptions!E13</f>
        <v>21000</v>
      </c>
      <c r="R36" s="22">
        <f>Assumptions!E61+Assumptions!E13</f>
        <v>21000</v>
      </c>
      <c r="S36" s="22">
        <f>Assumptions!E61+Assumptions!E13</f>
        <v>21000</v>
      </c>
      <c r="T36" s="22">
        <f>Assumptions!E61+Assumptions!E13</f>
        <v>21000</v>
      </c>
      <c r="U36" s="22">
        <f>Assumptions!E61+Assumptions!E13</f>
        <v>21000</v>
      </c>
      <c r="V36" s="22">
        <f>Assumptions!E61+Assumptions!E13</f>
        <v>21000</v>
      </c>
      <c r="W36" s="22">
        <f>Assumptions!E61+Assumptions!E13</f>
        <v>21000</v>
      </c>
      <c r="X36" s="22">
        <f>Assumptions!E61+Assumptions!E13</f>
        <v>21000</v>
      </c>
      <c r="Y36" s="22">
        <f>Assumptions!E61+Assumptions!E13</f>
        <v>21000</v>
      </c>
      <c r="Z36" s="22">
        <f>Assumptions!E62+Assumptions!E14</f>
        <v>39000</v>
      </c>
      <c r="AA36" s="22">
        <f>Assumptions!E62+Assumptions!E14</f>
        <v>39000</v>
      </c>
      <c r="AB36" s="22">
        <f>Assumptions!E62+Assumptions!E14</f>
        <v>39000</v>
      </c>
      <c r="AC36" s="22">
        <f>Assumptions!E62+Assumptions!E14</f>
        <v>39000</v>
      </c>
      <c r="AD36" s="22">
        <f>Assumptions!E62+Assumptions!E14</f>
        <v>39000</v>
      </c>
      <c r="AE36" s="22">
        <f>Assumptions!E62+Assumptions!E14</f>
        <v>39000</v>
      </c>
      <c r="AF36" s="22">
        <f>Assumptions!E62+Assumptions!E14</f>
        <v>39000</v>
      </c>
      <c r="AG36" s="22">
        <f>Assumptions!E62+Assumptions!E14</f>
        <v>39000</v>
      </c>
      <c r="AH36" s="22">
        <f>Assumptions!E62+Assumptions!E14</f>
        <v>39000</v>
      </c>
      <c r="AI36" s="22">
        <f>Assumptions!E62+Assumptions!E14</f>
        <v>39000</v>
      </c>
      <c r="AJ36" s="22">
        <f>Assumptions!E62+Assumptions!E14</f>
        <v>39000</v>
      </c>
      <c r="AK36" s="22">
        <f>Assumptions!E62+Assumptions!E14</f>
        <v>39000</v>
      </c>
      <c r="AL36" s="22">
        <f t="shared" si="9"/>
        <v>69000</v>
      </c>
      <c r="AM36" s="22">
        <f t="shared" si="10"/>
        <v>252000</v>
      </c>
      <c r="AN36" s="22">
        <f t="shared" si="11"/>
        <v>468000</v>
      </c>
    </row>
    <row r="37" spans="1:41" ht="15" customHeight="1" x14ac:dyDescent="0.2">
      <c r="A37" s="9" t="s">
        <v>166</v>
      </c>
      <c r="B37" s="22">
        <f>0</f>
        <v>0</v>
      </c>
      <c r="C37" s="22">
        <f>0</f>
        <v>0</v>
      </c>
      <c r="D37" s="22">
        <f>Assumptions!E63</f>
        <v>900</v>
      </c>
      <c r="E37" s="22">
        <f>Assumptions!E63</f>
        <v>900</v>
      </c>
      <c r="F37" s="22">
        <f>Assumptions!E63</f>
        <v>900</v>
      </c>
      <c r="G37" s="22">
        <f>Assumptions!E63</f>
        <v>900</v>
      </c>
      <c r="H37" s="22">
        <f>Assumptions!E63</f>
        <v>900</v>
      </c>
      <c r="I37" s="22">
        <f>Assumptions!E63</f>
        <v>900</v>
      </c>
      <c r="J37" s="22">
        <f>Assumptions!E63</f>
        <v>900</v>
      </c>
      <c r="K37" s="22">
        <f>Assumptions!E63</f>
        <v>900</v>
      </c>
      <c r="L37" s="22">
        <f>Assumptions!E63</f>
        <v>900</v>
      </c>
      <c r="M37" s="22">
        <f>Assumptions!E63</f>
        <v>900</v>
      </c>
      <c r="N37" s="22">
        <f>Assumptions!E64</f>
        <v>1500</v>
      </c>
      <c r="O37" s="22">
        <f>Assumptions!E64</f>
        <v>1500</v>
      </c>
      <c r="P37" s="22">
        <f>Assumptions!E64</f>
        <v>1500</v>
      </c>
      <c r="Q37" s="22">
        <f>Assumptions!E64</f>
        <v>1500</v>
      </c>
      <c r="R37" s="22">
        <f>Assumptions!E64</f>
        <v>1500</v>
      </c>
      <c r="S37" s="22">
        <f>Assumptions!E64</f>
        <v>1500</v>
      </c>
      <c r="T37" s="22">
        <f>Assumptions!E64</f>
        <v>1500</v>
      </c>
      <c r="U37" s="22">
        <f>Assumptions!E64</f>
        <v>1500</v>
      </c>
      <c r="V37" s="22">
        <f>Assumptions!E64</f>
        <v>1500</v>
      </c>
      <c r="W37" s="22">
        <f>Assumptions!E64</f>
        <v>1500</v>
      </c>
      <c r="X37" s="22">
        <f>Assumptions!E64</f>
        <v>1500</v>
      </c>
      <c r="Y37" s="22">
        <f>Assumptions!E64</f>
        <v>1500</v>
      </c>
      <c r="Z37" s="22">
        <f>Assumptions!E65</f>
        <v>2200</v>
      </c>
      <c r="AA37" s="22">
        <f>Assumptions!E65</f>
        <v>2200</v>
      </c>
      <c r="AB37" s="22">
        <f>Assumptions!E65</f>
        <v>2200</v>
      </c>
      <c r="AC37" s="22">
        <f>Assumptions!E65</f>
        <v>2200</v>
      </c>
      <c r="AD37" s="22">
        <f>Assumptions!E65</f>
        <v>2200</v>
      </c>
      <c r="AE37" s="22">
        <f>Assumptions!E65</f>
        <v>2200</v>
      </c>
      <c r="AF37" s="22">
        <f>Assumptions!E65</f>
        <v>2200</v>
      </c>
      <c r="AG37" s="22">
        <f>Assumptions!E65</f>
        <v>2200</v>
      </c>
      <c r="AH37" s="22">
        <f>Assumptions!E65</f>
        <v>2200</v>
      </c>
      <c r="AI37" s="22">
        <f>Assumptions!E65</f>
        <v>2200</v>
      </c>
      <c r="AJ37" s="22">
        <f>Assumptions!E65</f>
        <v>2200</v>
      </c>
      <c r="AK37" s="22">
        <f>Assumptions!E65</f>
        <v>2200</v>
      </c>
      <c r="AL37" s="22">
        <f t="shared" si="9"/>
        <v>9000</v>
      </c>
      <c r="AM37" s="22">
        <f t="shared" si="10"/>
        <v>18000</v>
      </c>
      <c r="AN37" s="22">
        <f t="shared" si="11"/>
        <v>26400</v>
      </c>
    </row>
    <row r="38" spans="1:41" ht="15" customHeight="1" x14ac:dyDescent="0.2">
      <c r="A38" s="9" t="s">
        <v>167</v>
      </c>
      <c r="B38" s="22">
        <f>Assumptions!E66</f>
        <v>800</v>
      </c>
      <c r="C38" s="22">
        <f>Assumptions!E66</f>
        <v>800</v>
      </c>
      <c r="D38" s="22">
        <f>Assumptions!E66</f>
        <v>800</v>
      </c>
      <c r="E38" s="22">
        <f>Assumptions!E67</f>
        <v>350</v>
      </c>
      <c r="F38" s="22">
        <f>Assumptions!E67</f>
        <v>350</v>
      </c>
      <c r="G38" s="22">
        <f>Assumptions!E67</f>
        <v>350</v>
      </c>
      <c r="H38" s="22">
        <f>Assumptions!E67</f>
        <v>350</v>
      </c>
      <c r="I38" s="22">
        <f>Assumptions!E67</f>
        <v>350</v>
      </c>
      <c r="J38" s="22">
        <f>Assumptions!E67</f>
        <v>350</v>
      </c>
      <c r="K38" s="22">
        <f>Assumptions!E67</f>
        <v>350</v>
      </c>
      <c r="L38" s="22">
        <f>Assumptions!E67</f>
        <v>350</v>
      </c>
      <c r="M38" s="22">
        <f>Assumptions!E67</f>
        <v>350</v>
      </c>
      <c r="N38" s="22">
        <f>Assumptions!E67</f>
        <v>350</v>
      </c>
      <c r="O38" s="22">
        <f>Assumptions!E67</f>
        <v>350</v>
      </c>
      <c r="P38" s="22">
        <f>Assumptions!E67</f>
        <v>350</v>
      </c>
      <c r="Q38" s="22">
        <f>Assumptions!E67</f>
        <v>350</v>
      </c>
      <c r="R38" s="22">
        <f>Assumptions!E67</f>
        <v>350</v>
      </c>
      <c r="S38" s="22">
        <f>Assumptions!E67</f>
        <v>350</v>
      </c>
      <c r="T38" s="22">
        <f>Assumptions!E67</f>
        <v>350</v>
      </c>
      <c r="U38" s="22">
        <f>Assumptions!E67</f>
        <v>350</v>
      </c>
      <c r="V38" s="22">
        <f>Assumptions!E67</f>
        <v>350</v>
      </c>
      <c r="W38" s="22">
        <f>Assumptions!E67</f>
        <v>350</v>
      </c>
      <c r="X38" s="22">
        <f>Assumptions!E67</f>
        <v>350</v>
      </c>
      <c r="Y38" s="22">
        <f>Assumptions!E67</f>
        <v>350</v>
      </c>
      <c r="Z38" s="22">
        <f>Assumptions!E67</f>
        <v>350</v>
      </c>
      <c r="AA38" s="22">
        <f>Assumptions!E67</f>
        <v>350</v>
      </c>
      <c r="AB38" s="22">
        <f>Assumptions!E67</f>
        <v>350</v>
      </c>
      <c r="AC38" s="22">
        <f>Assumptions!E67</f>
        <v>350</v>
      </c>
      <c r="AD38" s="22">
        <f>Assumptions!E67</f>
        <v>350</v>
      </c>
      <c r="AE38" s="22">
        <f>Assumptions!E67</f>
        <v>350</v>
      </c>
      <c r="AF38" s="22">
        <f>Assumptions!E67</f>
        <v>350</v>
      </c>
      <c r="AG38" s="22">
        <f>Assumptions!E67</f>
        <v>350</v>
      </c>
      <c r="AH38" s="22">
        <f>Assumptions!E67</f>
        <v>350</v>
      </c>
      <c r="AI38" s="22">
        <f>Assumptions!E67</f>
        <v>350</v>
      </c>
      <c r="AJ38" s="22">
        <f>Assumptions!E67</f>
        <v>350</v>
      </c>
      <c r="AK38" s="22">
        <f>Assumptions!E67</f>
        <v>350</v>
      </c>
      <c r="AL38" s="22">
        <f t="shared" si="9"/>
        <v>5550</v>
      </c>
      <c r="AM38" s="22">
        <f t="shared" si="10"/>
        <v>4200</v>
      </c>
      <c r="AN38" s="22">
        <f t="shared" si="11"/>
        <v>4200</v>
      </c>
    </row>
    <row r="39" spans="1:41" ht="15" customHeight="1" x14ac:dyDescent="0.2">
      <c r="A39" s="9" t="s">
        <v>168</v>
      </c>
      <c r="B39" s="22">
        <f>0</f>
        <v>0</v>
      </c>
      <c r="C39" s="22">
        <f>0</f>
        <v>0</v>
      </c>
      <c r="D39" s="22">
        <f>0</f>
        <v>0</v>
      </c>
      <c r="E39" s="22">
        <f>Assumptions!E50/3</f>
        <v>2666.6666666666665</v>
      </c>
      <c r="F39" s="22">
        <f>Assumptions!E50/3</f>
        <v>2666.6666666666665</v>
      </c>
      <c r="G39" s="22">
        <f>Assumptions!E50/3</f>
        <v>2666.6666666666665</v>
      </c>
      <c r="H39" s="22">
        <f>0</f>
        <v>0</v>
      </c>
      <c r="I39" s="22">
        <f>0</f>
        <v>0</v>
      </c>
      <c r="J39" s="22">
        <f>0</f>
        <v>0</v>
      </c>
      <c r="K39" s="22">
        <f>0</f>
        <v>0</v>
      </c>
      <c r="L39" s="22">
        <f>0</f>
        <v>0</v>
      </c>
      <c r="M39" s="22">
        <f>0</f>
        <v>0</v>
      </c>
      <c r="N39" s="22">
        <f>0</f>
        <v>0</v>
      </c>
      <c r="O39" s="22">
        <f>0</f>
        <v>0</v>
      </c>
      <c r="P39" s="22">
        <f>0</f>
        <v>0</v>
      </c>
      <c r="Q39" s="22">
        <f>0</f>
        <v>0</v>
      </c>
      <c r="R39" s="22">
        <f>0</f>
        <v>0</v>
      </c>
      <c r="S39" s="22">
        <f>0</f>
        <v>0</v>
      </c>
      <c r="T39" s="22">
        <f>0</f>
        <v>0</v>
      </c>
      <c r="U39" s="22">
        <f>0</f>
        <v>0</v>
      </c>
      <c r="V39" s="22">
        <f>0</f>
        <v>0</v>
      </c>
      <c r="W39" s="22">
        <f>0</f>
        <v>0</v>
      </c>
      <c r="X39" s="22">
        <f>0</f>
        <v>0</v>
      </c>
      <c r="Y39" s="22">
        <f>0</f>
        <v>0</v>
      </c>
      <c r="Z39" s="22">
        <f>0</f>
        <v>0</v>
      </c>
      <c r="AA39" s="22">
        <f>0</f>
        <v>0</v>
      </c>
      <c r="AB39" s="22">
        <f>0</f>
        <v>0</v>
      </c>
      <c r="AC39" s="22">
        <f>0</f>
        <v>0</v>
      </c>
      <c r="AD39" s="22">
        <f>0</f>
        <v>0</v>
      </c>
      <c r="AE39" s="22">
        <f>0</f>
        <v>0</v>
      </c>
      <c r="AF39" s="22">
        <f>0</f>
        <v>0</v>
      </c>
      <c r="AG39" s="22">
        <f>0</f>
        <v>0</v>
      </c>
      <c r="AH39" s="22">
        <f>0</f>
        <v>0</v>
      </c>
      <c r="AI39" s="22">
        <f>0</f>
        <v>0</v>
      </c>
      <c r="AJ39" s="22">
        <f>0</f>
        <v>0</v>
      </c>
      <c r="AK39" s="22">
        <f>0</f>
        <v>0</v>
      </c>
      <c r="AL39" s="22">
        <f t="shared" si="9"/>
        <v>8000</v>
      </c>
      <c r="AM39" s="22">
        <f t="shared" si="10"/>
        <v>0</v>
      </c>
      <c r="AN39" s="22">
        <f t="shared" si="11"/>
        <v>0</v>
      </c>
    </row>
    <row r="40" spans="1:41" ht="15" customHeight="1" x14ac:dyDescent="0.2">
      <c r="A40" s="9" t="s">
        <v>169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Assumptions!E51</f>
        <v>5000</v>
      </c>
      <c r="Q40" s="22">
        <f>0</f>
        <v>0</v>
      </c>
      <c r="R40" s="22">
        <f>0</f>
        <v>0</v>
      </c>
      <c r="S40" s="22">
        <f>0</f>
        <v>0</v>
      </c>
      <c r="T40" s="22">
        <f>0</f>
        <v>0</v>
      </c>
      <c r="U40" s="22">
        <f>0</f>
        <v>0</v>
      </c>
      <c r="V40" s="22">
        <f>0</f>
        <v>0</v>
      </c>
      <c r="W40" s="22">
        <f>0</f>
        <v>0</v>
      </c>
      <c r="X40" s="22">
        <f>0</f>
        <v>0</v>
      </c>
      <c r="Y40" s="22">
        <f>0</f>
        <v>0</v>
      </c>
      <c r="Z40" s="22">
        <f>0</f>
        <v>0</v>
      </c>
      <c r="AA40" s="22">
        <f>0</f>
        <v>0</v>
      </c>
      <c r="AB40" s="22">
        <f>0</f>
        <v>0</v>
      </c>
      <c r="AC40" s="22">
        <f>0</f>
        <v>0</v>
      </c>
      <c r="AD40" s="22">
        <f>0</f>
        <v>0</v>
      </c>
      <c r="AE40" s="22">
        <f>0</f>
        <v>0</v>
      </c>
      <c r="AF40" s="22">
        <f>0</f>
        <v>0</v>
      </c>
      <c r="AG40" s="22">
        <f>0</f>
        <v>0</v>
      </c>
      <c r="AH40" s="22">
        <f>0</f>
        <v>0</v>
      </c>
      <c r="AI40" s="22">
        <f>0</f>
        <v>0</v>
      </c>
      <c r="AJ40" s="22">
        <f>0</f>
        <v>0</v>
      </c>
      <c r="AK40" s="22">
        <f>0</f>
        <v>0</v>
      </c>
      <c r="AL40" s="22">
        <f t="shared" si="9"/>
        <v>0</v>
      </c>
      <c r="AM40" s="22">
        <f t="shared" si="10"/>
        <v>5000</v>
      </c>
      <c r="AN40" s="22">
        <f t="shared" si="11"/>
        <v>0</v>
      </c>
    </row>
    <row r="41" spans="1:41" ht="15" customHeight="1" x14ac:dyDescent="0.2">
      <c r="A41" s="9" t="s">
        <v>170</v>
      </c>
      <c r="B41" s="22">
        <f>0</f>
        <v>0</v>
      </c>
      <c r="C41" s="22">
        <f>0</f>
        <v>0</v>
      </c>
      <c r="D41" s="22">
        <f>0</f>
        <v>0</v>
      </c>
      <c r="E41" s="22">
        <f>0</f>
        <v>0</v>
      </c>
      <c r="F41" s="22">
        <f>0</f>
        <v>0</v>
      </c>
      <c r="G41" s="22">
        <f>0</f>
        <v>0</v>
      </c>
      <c r="H41" s="22">
        <f>0</f>
        <v>0</v>
      </c>
      <c r="I41" s="22">
        <f>0</f>
        <v>0</v>
      </c>
      <c r="J41" s="22">
        <f>0</f>
        <v>0</v>
      </c>
      <c r="K41" s="22">
        <f>0</f>
        <v>0</v>
      </c>
      <c r="L41" s="22">
        <f>0</f>
        <v>0</v>
      </c>
      <c r="M41" s="22">
        <f>0</f>
        <v>0</v>
      </c>
      <c r="N41" s="22">
        <f>0</f>
        <v>0</v>
      </c>
      <c r="O41" s="22">
        <f>0</f>
        <v>0</v>
      </c>
      <c r="P41" s="22">
        <f>0</f>
        <v>0</v>
      </c>
      <c r="Q41" s="22">
        <f>0</f>
        <v>0</v>
      </c>
      <c r="R41" s="22">
        <f>0</f>
        <v>0</v>
      </c>
      <c r="S41" s="22">
        <f>0</f>
        <v>0</v>
      </c>
      <c r="T41" s="22">
        <f>0</f>
        <v>0</v>
      </c>
      <c r="U41" s="22">
        <f>Assumptions!E52</f>
        <v>3000</v>
      </c>
      <c r="V41" s="22">
        <f>Assumptions!E52</f>
        <v>3000</v>
      </c>
      <c r="W41" s="22">
        <f>Assumptions!E52</f>
        <v>3000</v>
      </c>
      <c r="X41" s="22">
        <f>Assumptions!E52</f>
        <v>3000</v>
      </c>
      <c r="Y41" s="22">
        <f>0</f>
        <v>0</v>
      </c>
      <c r="Z41" s="22">
        <f>0</f>
        <v>0</v>
      </c>
      <c r="AA41" s="22">
        <f>0</f>
        <v>0</v>
      </c>
      <c r="AB41" s="22">
        <f>0</f>
        <v>0</v>
      </c>
      <c r="AC41" s="22">
        <f>0</f>
        <v>0</v>
      </c>
      <c r="AD41" s="22">
        <f>0</f>
        <v>0</v>
      </c>
      <c r="AE41" s="22">
        <f>0</f>
        <v>0</v>
      </c>
      <c r="AF41" s="22">
        <f>0</f>
        <v>0</v>
      </c>
      <c r="AG41" s="22">
        <f>0</f>
        <v>0</v>
      </c>
      <c r="AH41" s="22">
        <f>0</f>
        <v>0</v>
      </c>
      <c r="AI41" s="22">
        <f>0</f>
        <v>0</v>
      </c>
      <c r="AJ41" s="22">
        <f>0</f>
        <v>0</v>
      </c>
      <c r="AK41" s="22">
        <f>0</f>
        <v>0</v>
      </c>
      <c r="AL41" s="22">
        <f t="shared" si="9"/>
        <v>0</v>
      </c>
      <c r="AM41" s="22">
        <f t="shared" si="10"/>
        <v>12000</v>
      </c>
      <c r="AN41" s="22">
        <f t="shared" si="11"/>
        <v>0</v>
      </c>
    </row>
    <row r="42" spans="1:41" s="37" customFormat="1" ht="15" customHeight="1" x14ac:dyDescent="0.2">
      <c r="A42" s="36" t="s">
        <v>171</v>
      </c>
      <c r="B42" s="33">
        <f t="shared" ref="B42:AK42" si="12">B30+B31+B32+B33+B34+B35+B36+B37+B38+B39+B40+B41</f>
        <v>3797.9639999999999</v>
      </c>
      <c r="C42" s="33">
        <f t="shared" si="12"/>
        <v>3807.7543799999999</v>
      </c>
      <c r="D42" s="33">
        <f t="shared" si="12"/>
        <v>12377.9205726</v>
      </c>
      <c r="E42" s="33">
        <f t="shared" si="12"/>
        <v>19941.515913991487</v>
      </c>
      <c r="F42" s="33">
        <f t="shared" si="12"/>
        <v>20427.054459323706</v>
      </c>
      <c r="G42" s="33">
        <f t="shared" si="12"/>
        <v>21496.977341374066</v>
      </c>
      <c r="H42" s="33">
        <f t="shared" si="12"/>
        <v>25380.495062584712</v>
      </c>
      <c r="I42" s="33">
        <f t="shared" si="12"/>
        <v>25909.894287110554</v>
      </c>
      <c r="J42" s="33">
        <f t="shared" si="12"/>
        <v>26422.250999805146</v>
      </c>
      <c r="K42" s="33">
        <f t="shared" si="12"/>
        <v>26921.303182377953</v>
      </c>
      <c r="L42" s="33">
        <f t="shared" si="12"/>
        <v>27410.839797403998</v>
      </c>
      <c r="M42" s="33">
        <f t="shared" si="12"/>
        <v>27969.209490120134</v>
      </c>
      <c r="N42" s="33">
        <f t="shared" si="12"/>
        <v>82077.005765895301</v>
      </c>
      <c r="O42" s="33">
        <f t="shared" si="12"/>
        <v>83817.0283332041</v>
      </c>
      <c r="P42" s="33">
        <f t="shared" si="12"/>
        <v>90530.586776907687</v>
      </c>
      <c r="Q42" s="33">
        <f t="shared" si="12"/>
        <v>87225.524883158723</v>
      </c>
      <c r="R42" s="33">
        <f t="shared" si="12"/>
        <v>88910.057954902266</v>
      </c>
      <c r="S42" s="33">
        <f t="shared" si="12"/>
        <v>90592.914351401181</v>
      </c>
      <c r="T42" s="33">
        <f t="shared" si="12"/>
        <v>92283.492036561118</v>
      </c>
      <c r="U42" s="33">
        <f t="shared" si="12"/>
        <v>96992.033433873177</v>
      </c>
      <c r="V42" s="33">
        <f t="shared" si="12"/>
        <v>98729.822333088581</v>
      </c>
      <c r="W42" s="33">
        <f t="shared" si="12"/>
        <v>100509.40712431373</v>
      </c>
      <c r="X42" s="33">
        <f t="shared" si="12"/>
        <v>102344.85526152355</v>
      </c>
      <c r="Y42" s="33">
        <f t="shared" si="12"/>
        <v>101244.44172919396</v>
      </c>
      <c r="Z42" s="33">
        <f t="shared" si="12"/>
        <v>182257.5254369982</v>
      </c>
      <c r="AA42" s="33">
        <f t="shared" si="12"/>
        <v>186141.69068286399</v>
      </c>
      <c r="AB42" s="33">
        <f t="shared" si="12"/>
        <v>189993.84082486774</v>
      </c>
      <c r="AC42" s="33">
        <f t="shared" si="12"/>
        <v>193736.70916664298</v>
      </c>
      <c r="AD42" s="33">
        <f t="shared" si="12"/>
        <v>223146.4910247295</v>
      </c>
      <c r="AE42" s="33">
        <f t="shared" si="12"/>
        <v>229822.68571983583</v>
      </c>
      <c r="AF42" s="33">
        <f t="shared" si="12"/>
        <v>236678.64046441915</v>
      </c>
      <c r="AG42" s="33">
        <f t="shared" si="12"/>
        <v>242631.81467691803</v>
      </c>
      <c r="AH42" s="33">
        <f t="shared" si="12"/>
        <v>249001.75991959026</v>
      </c>
      <c r="AI42" s="33">
        <f t="shared" si="12"/>
        <v>255865.34092209101</v>
      </c>
      <c r="AJ42" s="33">
        <f t="shared" si="12"/>
        <v>263311.73352872679</v>
      </c>
      <c r="AK42" s="33">
        <f t="shared" si="12"/>
        <v>271444.37667103746</v>
      </c>
      <c r="AL42" s="33">
        <f t="shared" si="9"/>
        <v>241863.17948669172</v>
      </c>
      <c r="AM42" s="33">
        <f t="shared" si="10"/>
        <v>1115257.1699840233</v>
      </c>
      <c r="AN42" s="33">
        <f t="shared" si="11"/>
        <v>2724032.6090387213</v>
      </c>
    </row>
    <row r="44" spans="1:41" ht="15" customHeight="1" x14ac:dyDescent="0.2">
      <c r="A44" s="6" t="s">
        <v>172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ht="27.75" customHeight="1" x14ac:dyDescent="0.2">
      <c r="A45" s="9" t="s">
        <v>173</v>
      </c>
      <c r="B45" s="18">
        <f t="shared" ref="B45:AK45" si="13">IF(B24=0,0,(B24-(B30+B31+B32))/B24)</f>
        <v>0.85</v>
      </c>
      <c r="C45" s="18">
        <f t="shared" si="13"/>
        <v>0.85</v>
      </c>
      <c r="D45" s="18">
        <f t="shared" si="13"/>
        <v>0.96345479436528803</v>
      </c>
      <c r="E45" s="18">
        <f t="shared" si="13"/>
        <v>0.90968185279586777</v>
      </c>
      <c r="F45" s="18">
        <f t="shared" si="13"/>
        <v>0.88198001779603863</v>
      </c>
      <c r="G45" s="18">
        <f t="shared" si="13"/>
        <v>0.81583660958158977</v>
      </c>
      <c r="H45" s="18">
        <f t="shared" si="13"/>
        <v>0.83299141259314569</v>
      </c>
      <c r="I45" s="18">
        <f t="shared" si="13"/>
        <v>0.84276526952801945</v>
      </c>
      <c r="J45" s="18">
        <f t="shared" si="13"/>
        <v>0.84916915582756425</v>
      </c>
      <c r="K45" s="18">
        <f t="shared" si="13"/>
        <v>0.85373368367996205</v>
      </c>
      <c r="L45" s="18">
        <f t="shared" si="13"/>
        <v>0.85716755766308983</v>
      </c>
      <c r="M45" s="18">
        <f t="shared" si="13"/>
        <v>0.85964382724640054</v>
      </c>
      <c r="N45" s="18">
        <f t="shared" si="13"/>
        <v>0.87634988976558248</v>
      </c>
      <c r="O45" s="18">
        <f t="shared" si="13"/>
        <v>0.87671453074461236</v>
      </c>
      <c r="P45" s="18">
        <f t="shared" si="13"/>
        <v>0.87699241599445921</v>
      </c>
      <c r="Q45" s="18">
        <f t="shared" si="13"/>
        <v>0.87720014173948857</v>
      </c>
      <c r="R45" s="18">
        <f t="shared" si="13"/>
        <v>0.87734395811449284</v>
      </c>
      <c r="S45" s="18">
        <f t="shared" si="13"/>
        <v>0.87742565969382902</v>
      </c>
      <c r="T45" s="18">
        <f t="shared" si="13"/>
        <v>0.87744476083231349</v>
      </c>
      <c r="U45" s="18">
        <f t="shared" si="13"/>
        <v>0.87739943688254374</v>
      </c>
      <c r="V45" s="18">
        <f t="shared" si="13"/>
        <v>0.87728698951368944</v>
      </c>
      <c r="W45" s="18">
        <f t="shared" si="13"/>
        <v>0.87710411131765798</v>
      </c>
      <c r="X45" s="18">
        <f t="shared" si="13"/>
        <v>0.87684706381735522</v>
      </c>
      <c r="Y45" s="18">
        <f t="shared" si="13"/>
        <v>0.87652239936440712</v>
      </c>
      <c r="Z45" s="18">
        <f t="shared" si="13"/>
        <v>0.88016546054082045</v>
      </c>
      <c r="AA45" s="18">
        <f t="shared" si="13"/>
        <v>0.87935962970169601</v>
      </c>
      <c r="AB45" s="18">
        <f t="shared" si="13"/>
        <v>0.87919201456431995</v>
      </c>
      <c r="AC45" s="18">
        <f t="shared" si="13"/>
        <v>0.87992053744859344</v>
      </c>
      <c r="AD45" s="18">
        <f t="shared" si="13"/>
        <v>0.77756938984864987</v>
      </c>
      <c r="AE45" s="18">
        <f t="shared" si="13"/>
        <v>0.77693519794591159</v>
      </c>
      <c r="AF45" s="18">
        <f t="shared" si="13"/>
        <v>0.77611284925488311</v>
      </c>
      <c r="AG45" s="18">
        <f t="shared" si="13"/>
        <v>0.77510770747700397</v>
      </c>
      <c r="AH45" s="18">
        <f t="shared" si="13"/>
        <v>0.77392264467827321</v>
      </c>
      <c r="AI45" s="18">
        <f t="shared" si="13"/>
        <v>0.77255933507089303</v>
      </c>
      <c r="AJ45" s="18">
        <f t="shared" si="13"/>
        <v>0.77101925989053532</v>
      </c>
      <c r="AK45" s="18">
        <f t="shared" si="13"/>
        <v>0.76930452739847055</v>
      </c>
      <c r="AL45" s="18">
        <f>IF(SUM(B24:M24)=0,0,(SUM(B24:M24)-(SUM(B30:M30)+SUM(B31:M31)+SUM(B32:M32)))/SUM(B24:M24))</f>
        <v>0.85293332832850188</v>
      </c>
      <c r="AM45" s="18">
        <f>IF(SUM(N24:Y24)=0,0,(SUM(N24:Y24)-(SUM(N30:Y30)+SUM(N31:Y31)+SUM(N32:Y32)))/SUM(N24:Y24))</f>
        <v>0.87707169769567583</v>
      </c>
      <c r="AN45" s="18">
        <f>IF(SUM(Z24:AK24)=0,0,(SUM(Z24:AK24)-(SUM(Z30:AK30)+SUM(Z31:AK31)+SUM(Z32:AK32)))/SUM(Z24:AK24))</f>
        <v>0.79723461274203367</v>
      </c>
      <c r="AO45" t="s">
        <v>174</v>
      </c>
    </row>
    <row r="46" spans="1:41" s="37" customFormat="1" ht="15" customHeight="1" x14ac:dyDescent="0.2">
      <c r="A46" s="38" t="s">
        <v>175</v>
      </c>
      <c r="B46" s="34">
        <f t="shared" ref="B46:AK46" si="14">B24-B42</f>
        <v>-3678.2039999999997</v>
      </c>
      <c r="C46" s="34">
        <f t="shared" si="14"/>
        <v>-3622.7251799999999</v>
      </c>
      <c r="D46" s="34">
        <f t="shared" si="14"/>
        <v>-11055.808088600001</v>
      </c>
      <c r="E46" s="34">
        <f t="shared" si="14"/>
        <v>-17428.189115759353</v>
      </c>
      <c r="F46" s="34">
        <f t="shared" si="14"/>
        <v>-15736.62554972563</v>
      </c>
      <c r="G46" s="34">
        <f t="shared" si="14"/>
        <v>-13786.093799197106</v>
      </c>
      <c r="H46" s="34">
        <f t="shared" si="14"/>
        <v>-14755.914540885653</v>
      </c>
      <c r="I46" s="34">
        <f t="shared" si="14"/>
        <v>-12462.754338567542</v>
      </c>
      <c r="J46" s="34">
        <f t="shared" si="14"/>
        <v>-10228.346257074074</v>
      </c>
      <c r="K46" s="34">
        <f t="shared" si="14"/>
        <v>-8041.1474990272036</v>
      </c>
      <c r="L46" s="34">
        <f t="shared" si="14"/>
        <v>-5889.5036797709981</v>
      </c>
      <c r="M46" s="34">
        <f t="shared" si="14"/>
        <v>-3339.5893509107955</v>
      </c>
      <c r="N46" s="34">
        <f t="shared" si="14"/>
        <v>-47520.440633871505</v>
      </c>
      <c r="O46" s="34">
        <f t="shared" si="14"/>
        <v>-39708.523044015332</v>
      </c>
      <c r="P46" s="34">
        <f t="shared" si="14"/>
        <v>-36953.317954617487</v>
      </c>
      <c r="Q46" s="34">
        <f t="shared" si="14"/>
        <v>-24234.399075863053</v>
      </c>
      <c r="R46" s="34">
        <f t="shared" si="14"/>
        <v>-16529.782280321873</v>
      </c>
      <c r="S46" s="34">
        <f t="shared" si="14"/>
        <v>-8815.5165913795645</v>
      </c>
      <c r="T46" s="34">
        <f t="shared" si="14"/>
        <v>-1065.2249188470742</v>
      </c>
      <c r="U46" s="34">
        <f t="shared" si="14"/>
        <v>3750.4154970790114</v>
      </c>
      <c r="V46" s="34">
        <f t="shared" si="14"/>
        <v>11664.26440500145</v>
      </c>
      <c r="W46" s="34">
        <f t="shared" si="14"/>
        <v>19713.394786856239</v>
      </c>
      <c r="X46" s="34">
        <f t="shared" si="14"/>
        <v>27939.869178146575</v>
      </c>
      <c r="Y46" s="34">
        <f t="shared" si="14"/>
        <v>39376.900057569437</v>
      </c>
      <c r="Z46" s="34">
        <f t="shared" si="14"/>
        <v>-20031.620763826795</v>
      </c>
      <c r="AA46" s="34">
        <f t="shared" si="14"/>
        <v>-3121.0622783982835</v>
      </c>
      <c r="AB46" s="34">
        <f t="shared" si="14"/>
        <v>14221.986778408347</v>
      </c>
      <c r="AC46" s="34">
        <f t="shared" si="14"/>
        <v>32179.350535686768</v>
      </c>
      <c r="AD46" s="34">
        <f t="shared" si="14"/>
        <v>25096.531679469772</v>
      </c>
      <c r="AE46" s="34">
        <f t="shared" si="14"/>
        <v>41515.516227294895</v>
      </c>
      <c r="AF46" s="34">
        <f t="shared" si="14"/>
        <v>58687.307265662646</v>
      </c>
      <c r="AG46" s="34">
        <f t="shared" si="14"/>
        <v>77885.237589546014</v>
      </c>
      <c r="AH46" s="34">
        <f t="shared" si="14"/>
        <v>98011.145499207312</v>
      </c>
      <c r="AI46" s="34">
        <f t="shared" si="14"/>
        <v>119244.98048276277</v>
      </c>
      <c r="AJ46" s="34">
        <f t="shared" si="14"/>
        <v>141795.40991216648</v>
      </c>
      <c r="AK46" s="34">
        <f t="shared" si="14"/>
        <v>165904.37375419552</v>
      </c>
      <c r="AL46" s="34">
        <f>SUM(B46:M46)</f>
        <v>-120024.90139951836</v>
      </c>
      <c r="AM46" s="34">
        <f>SUM(N46:Y46)</f>
        <v>-72382.360574263163</v>
      </c>
      <c r="AN46" s="34">
        <f>SUM(Z46:AK46)</f>
        <v>751389.15668217547</v>
      </c>
    </row>
    <row r="47" spans="1:41" s="37" customFormat="1" ht="15" customHeight="1" x14ac:dyDescent="0.2">
      <c r="A47" s="38" t="s">
        <v>176</v>
      </c>
      <c r="B47" s="34">
        <f>Assumptions!E73</f>
        <v>350000</v>
      </c>
      <c r="C47" s="34">
        <f>IF(2=Assumptions!E74,Assumptions!E75,0)</f>
        <v>0</v>
      </c>
      <c r="D47" s="34">
        <f>IF(3=Assumptions!E74,Assumptions!E75,0)</f>
        <v>0</v>
      </c>
      <c r="E47" s="34">
        <f>IF(4=Assumptions!E74,Assumptions!E75,0)</f>
        <v>0</v>
      </c>
      <c r="F47" s="34">
        <f>IF(5=Assumptions!E74,Assumptions!E75,0)</f>
        <v>0</v>
      </c>
      <c r="G47" s="34">
        <f>IF(6=Assumptions!E74,Assumptions!E75,0)</f>
        <v>0</v>
      </c>
      <c r="H47" s="34">
        <f>IF(7=Assumptions!E74,Assumptions!E75,0)</f>
        <v>0</v>
      </c>
      <c r="I47" s="34">
        <f>IF(8=Assumptions!E74,Assumptions!E75,0)</f>
        <v>0</v>
      </c>
      <c r="J47" s="34">
        <f>IF(9=Assumptions!E74,Assumptions!E75,0)</f>
        <v>0</v>
      </c>
      <c r="K47" s="34">
        <f>IF(10=Assumptions!E74,Assumptions!E75,0)</f>
        <v>0</v>
      </c>
      <c r="L47" s="34">
        <f>IF(11=Assumptions!E74,Assumptions!E75,0)</f>
        <v>0</v>
      </c>
      <c r="M47" s="34">
        <f>IF(12=Assumptions!E74,Assumptions!E75,0)</f>
        <v>0</v>
      </c>
      <c r="N47" s="34">
        <f>IF(13=Assumptions!E74,Assumptions!E75,0)</f>
        <v>5000000</v>
      </c>
      <c r="O47" s="34">
        <f>IF(14=Assumptions!E74,Assumptions!E75,0)</f>
        <v>0</v>
      </c>
      <c r="P47" s="34">
        <f>IF(15=Assumptions!E74,Assumptions!E75,0)</f>
        <v>0</v>
      </c>
      <c r="Q47" s="34">
        <f>IF(16=Assumptions!E74,Assumptions!E75,0)</f>
        <v>0</v>
      </c>
      <c r="R47" s="34">
        <f>IF(17=Assumptions!E74,Assumptions!E75,0)</f>
        <v>0</v>
      </c>
      <c r="S47" s="34">
        <f>IF(18=Assumptions!E74,Assumptions!E75,0)</f>
        <v>0</v>
      </c>
      <c r="T47" s="34">
        <f>IF(19=Assumptions!E74,Assumptions!E75,0)</f>
        <v>0</v>
      </c>
      <c r="U47" s="34">
        <f>IF(20=Assumptions!E74,Assumptions!E75,0)</f>
        <v>0</v>
      </c>
      <c r="V47" s="34">
        <f>IF(21=Assumptions!E74,Assumptions!E75,0)</f>
        <v>0</v>
      </c>
      <c r="W47" s="34">
        <f>IF(22=Assumptions!E74,Assumptions!E75,0)</f>
        <v>0</v>
      </c>
      <c r="X47" s="34">
        <f>IF(23=Assumptions!E74,Assumptions!E75,0)</f>
        <v>0</v>
      </c>
      <c r="Y47" s="34">
        <f>IF(24=Assumptions!E74,Assumptions!E75,0)</f>
        <v>0</v>
      </c>
      <c r="Z47" s="34">
        <f>IF(25=Assumptions!E74,Assumptions!E75,0)</f>
        <v>0</v>
      </c>
      <c r="AA47" s="34">
        <f>IF(26=Assumptions!E74,Assumptions!E75,0)</f>
        <v>0</v>
      </c>
      <c r="AB47" s="34">
        <f>IF(27=Assumptions!E74,Assumptions!E75,0)</f>
        <v>0</v>
      </c>
      <c r="AC47" s="34">
        <f>IF(28=Assumptions!E74,Assumptions!E75,0)</f>
        <v>0</v>
      </c>
      <c r="AD47" s="34">
        <f>IF(29=Assumptions!E74,Assumptions!E75,0)</f>
        <v>0</v>
      </c>
      <c r="AE47" s="34">
        <f>IF(30=Assumptions!E74,Assumptions!E75,0)</f>
        <v>0</v>
      </c>
      <c r="AF47" s="34">
        <f>IF(31=Assumptions!E74,Assumptions!E75,0)</f>
        <v>0</v>
      </c>
      <c r="AG47" s="34">
        <f>IF(32=Assumptions!E74,Assumptions!E75,0)</f>
        <v>0</v>
      </c>
      <c r="AH47" s="34">
        <f>IF(33=Assumptions!E74,Assumptions!E75,0)</f>
        <v>0</v>
      </c>
      <c r="AI47" s="34">
        <f>IF(34=Assumptions!E74,Assumptions!E75,0)</f>
        <v>0</v>
      </c>
      <c r="AJ47" s="34">
        <f>IF(35=Assumptions!E74,Assumptions!E75,0)</f>
        <v>0</v>
      </c>
      <c r="AK47" s="34">
        <f>IF(36=Assumptions!E74,Assumptions!E75,0)</f>
        <v>0</v>
      </c>
      <c r="AL47" s="34">
        <f>SUM(B47:M47)</f>
        <v>350000</v>
      </c>
      <c r="AM47" s="34">
        <f>SUM(N47:Y47)</f>
        <v>5000000</v>
      </c>
      <c r="AN47" s="34">
        <f>SUM(Z47:AK47)</f>
        <v>0</v>
      </c>
      <c r="AO47" s="37" t="s">
        <v>177</v>
      </c>
    </row>
    <row r="48" spans="1:41" s="37" customFormat="1" ht="15" customHeight="1" x14ac:dyDescent="0.2">
      <c r="A48" s="36" t="s">
        <v>178</v>
      </c>
      <c r="B48" s="35">
        <f>B46+B47</f>
        <v>346321.79599999997</v>
      </c>
      <c r="C48" s="35">
        <f t="shared" ref="C48:AK48" si="15">B48+C46+C47</f>
        <v>342699.07081999996</v>
      </c>
      <c r="D48" s="35">
        <f t="shared" si="15"/>
        <v>331643.26273139997</v>
      </c>
      <c r="E48" s="35">
        <f t="shared" si="15"/>
        <v>314215.07361564063</v>
      </c>
      <c r="F48" s="35">
        <f t="shared" si="15"/>
        <v>298478.44806591503</v>
      </c>
      <c r="G48" s="35">
        <f t="shared" si="15"/>
        <v>284692.35426671791</v>
      </c>
      <c r="H48" s="35">
        <f t="shared" si="15"/>
        <v>269936.43972583226</v>
      </c>
      <c r="I48" s="35">
        <f t="shared" si="15"/>
        <v>257473.6853872647</v>
      </c>
      <c r="J48" s="35">
        <f t="shared" si="15"/>
        <v>247245.33913019064</v>
      </c>
      <c r="K48" s="35">
        <f t="shared" si="15"/>
        <v>239204.19163116344</v>
      </c>
      <c r="L48" s="35">
        <f t="shared" si="15"/>
        <v>233314.68795139244</v>
      </c>
      <c r="M48" s="35">
        <f t="shared" si="15"/>
        <v>229975.09860048164</v>
      </c>
      <c r="N48" s="35">
        <f t="shared" si="15"/>
        <v>5182454.65796661</v>
      </c>
      <c r="O48" s="35">
        <f t="shared" si="15"/>
        <v>5142746.1349225948</v>
      </c>
      <c r="P48" s="35">
        <f t="shared" si="15"/>
        <v>5105792.8169679772</v>
      </c>
      <c r="Q48" s="35">
        <f t="shared" si="15"/>
        <v>5081558.4178921143</v>
      </c>
      <c r="R48" s="35">
        <f t="shared" si="15"/>
        <v>5065028.6356117921</v>
      </c>
      <c r="S48" s="35">
        <f t="shared" si="15"/>
        <v>5056213.1190204127</v>
      </c>
      <c r="T48" s="35">
        <f t="shared" si="15"/>
        <v>5055147.8941015657</v>
      </c>
      <c r="U48" s="35">
        <f t="shared" si="15"/>
        <v>5058898.3095986443</v>
      </c>
      <c r="V48" s="35">
        <f t="shared" si="15"/>
        <v>5070562.5740036462</v>
      </c>
      <c r="W48" s="35">
        <f t="shared" si="15"/>
        <v>5090275.9687905023</v>
      </c>
      <c r="X48" s="35">
        <f t="shared" si="15"/>
        <v>5118215.8379686484</v>
      </c>
      <c r="Y48" s="35">
        <f t="shared" si="15"/>
        <v>5157592.7380262176</v>
      </c>
      <c r="Z48" s="35">
        <f t="shared" si="15"/>
        <v>5137561.1172623904</v>
      </c>
      <c r="AA48" s="35">
        <f t="shared" si="15"/>
        <v>5134440.0549839921</v>
      </c>
      <c r="AB48" s="35">
        <f t="shared" si="15"/>
        <v>5148662.0417624004</v>
      </c>
      <c r="AC48" s="35">
        <f t="shared" si="15"/>
        <v>5180841.3922980875</v>
      </c>
      <c r="AD48" s="35">
        <f t="shared" si="15"/>
        <v>5205937.9239775576</v>
      </c>
      <c r="AE48" s="35">
        <f t="shared" si="15"/>
        <v>5247453.4402048523</v>
      </c>
      <c r="AF48" s="35">
        <f t="shared" si="15"/>
        <v>5306140.7474705148</v>
      </c>
      <c r="AG48" s="35">
        <f t="shared" si="15"/>
        <v>5384025.9850600604</v>
      </c>
      <c r="AH48" s="35">
        <f t="shared" si="15"/>
        <v>5482037.1305592675</v>
      </c>
      <c r="AI48" s="35">
        <f t="shared" si="15"/>
        <v>5601282.1110420302</v>
      </c>
      <c r="AJ48" s="35">
        <f t="shared" si="15"/>
        <v>5743077.5209541963</v>
      </c>
      <c r="AK48" s="35">
        <f t="shared" si="15"/>
        <v>5908981.8947083922</v>
      </c>
      <c r="AL48" s="35">
        <f>M48</f>
        <v>229975.09860048164</v>
      </c>
      <c r="AM48" s="35">
        <f>Y48</f>
        <v>5157592.7380262176</v>
      </c>
      <c r="AN48" s="35">
        <f>AK48</f>
        <v>5908981.8947083922</v>
      </c>
    </row>
    <row r="50" spans="1:41" ht="15" customHeight="1" x14ac:dyDescent="0.2">
      <c r="A50" s="6" t="s">
        <v>179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ht="15" customHeight="1" x14ac:dyDescent="0.2">
      <c r="A51" s="19" t="s">
        <v>180</v>
      </c>
      <c r="B51" s="24">
        <f>Assumptions!E4*(1-Assumptions!E41)/AVERAGE(N9:Y9)</f>
        <v>83.576354679802947</v>
      </c>
      <c r="AO51" t="s">
        <v>181</v>
      </c>
    </row>
    <row r="52" spans="1:41" ht="15" customHeight="1" x14ac:dyDescent="0.2">
      <c r="A52" s="19" t="s">
        <v>182</v>
      </c>
      <c r="B52" s="24">
        <f>Assumptions!E5*(1-Assumptions!E41)/Assumptions!E27</f>
        <v>368.05</v>
      </c>
    </row>
    <row r="53" spans="1:41" ht="15" customHeight="1" x14ac:dyDescent="0.2">
      <c r="A53" s="19" t="s">
        <v>183</v>
      </c>
      <c r="B53" s="24">
        <f>Assumptions!E15</f>
        <v>12</v>
      </c>
    </row>
    <row r="54" spans="1:41" ht="15" customHeight="1" x14ac:dyDescent="0.2">
      <c r="A54" s="19" t="s">
        <v>184</v>
      </c>
      <c r="B54" s="25">
        <f>IF(B53=0,0,B51/B53)</f>
        <v>6.9646962233169125</v>
      </c>
      <c r="AO54" t="s">
        <v>185</v>
      </c>
    </row>
    <row r="55" spans="1:41" ht="15" customHeight="1" x14ac:dyDescent="0.2">
      <c r="A55" s="9" t="s">
        <v>186</v>
      </c>
      <c r="B55" s="34">
        <f>IF(B53=0,0,B53/(Assumptions!E4*(1-Assumptions!E41)))</f>
        <v>2.8291877873393845</v>
      </c>
    </row>
    <row r="56" spans="1:41" ht="27.75" customHeight="1" x14ac:dyDescent="0.2">
      <c r="A56" s="9" t="s">
        <v>187</v>
      </c>
      <c r="B56" s="10">
        <v>4.2</v>
      </c>
    </row>
    <row r="57" spans="1:41" ht="15" customHeight="1" x14ac:dyDescent="0.2">
      <c r="A57" s="9" t="s">
        <v>188</v>
      </c>
      <c r="B57" s="27">
        <f>IF(B56=0,0,B52/B56)</f>
        <v>87.63095238095238</v>
      </c>
    </row>
  </sheetData>
  <mergeCells count="6">
    <mergeCell ref="A50:AO50"/>
    <mergeCell ref="A1:AM1"/>
    <mergeCell ref="A4:AO4"/>
    <mergeCell ref="A17:AO17"/>
    <mergeCell ref="A28:AO28"/>
    <mergeCell ref="A44:AO44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7"/>
  <sheetViews>
    <sheetView zoomScaleNormal="100" workbookViewId="0">
      <pane ySplit="2" topLeftCell="A3" activePane="bottomLeft" state="frozen"/>
      <selection pane="bottomLeft"/>
    </sheetView>
  </sheetViews>
  <sheetFormatPr baseColWidth="10" defaultColWidth="8.6640625" defaultRowHeight="15" x14ac:dyDescent="0.2"/>
  <cols>
    <col min="1" max="1" width="55" customWidth="1"/>
    <col min="2" max="4" width="80" customWidth="1"/>
    <col min="5" max="5" width="50" customWidth="1"/>
  </cols>
  <sheetData>
    <row r="1" spans="1:5" ht="15" customHeight="1" x14ac:dyDescent="0.2">
      <c r="A1" s="6" t="s">
        <v>191</v>
      </c>
      <c r="B1" s="6"/>
      <c r="C1" s="6"/>
      <c r="D1" s="6"/>
      <c r="E1" s="6"/>
    </row>
    <row r="2" spans="1:5" ht="15" customHeight="1" x14ac:dyDescent="0.2">
      <c r="A2" s="7" t="s">
        <v>192</v>
      </c>
      <c r="B2" s="7" t="s">
        <v>3</v>
      </c>
      <c r="C2" s="7" t="s">
        <v>4</v>
      </c>
      <c r="D2" s="7" t="s">
        <v>5</v>
      </c>
      <c r="E2" s="7" t="s">
        <v>193</v>
      </c>
    </row>
    <row r="3" spans="1:5" ht="15" customHeight="1" x14ac:dyDescent="0.2">
      <c r="A3" s="5" t="s">
        <v>194</v>
      </c>
      <c r="B3" s="5"/>
      <c r="C3" s="5"/>
      <c r="D3" s="5"/>
      <c r="E3" s="5"/>
    </row>
    <row r="4" spans="1:5" ht="15" customHeight="1" x14ac:dyDescent="0.2">
      <c r="A4" s="8" t="s">
        <v>195</v>
      </c>
      <c r="B4" s="17">
        <f>Conservative!N15</f>
        <v>2312.8939342380813</v>
      </c>
      <c r="C4" s="17">
        <f>Realistic!N15</f>
        <v>3494.8534986844247</v>
      </c>
      <c r="D4" s="17">
        <f>Ambitious!N15</f>
        <v>6010.8871413272791</v>
      </c>
      <c r="E4" t="s">
        <v>196</v>
      </c>
    </row>
    <row r="5" spans="1:5" ht="15" customHeight="1" x14ac:dyDescent="0.2">
      <c r="A5" s="8" t="s">
        <v>197</v>
      </c>
      <c r="B5" s="17">
        <f>Conservative!Z15</f>
        <v>7311.6185899046768</v>
      </c>
      <c r="C5" s="17">
        <f>Realistic!Z15</f>
        <v>13000.118699505905</v>
      </c>
      <c r="D5" s="17">
        <f>Ambitious!Z15</f>
        <v>25512.690299039867</v>
      </c>
      <c r="E5" t="s">
        <v>196</v>
      </c>
    </row>
    <row r="6" spans="1:5" ht="15" customHeight="1" x14ac:dyDescent="0.2">
      <c r="A6" s="8" t="s">
        <v>198</v>
      </c>
      <c r="B6" s="17">
        <f>Conservative!AL15</f>
        <v>1835.8567231580021</v>
      </c>
      <c r="C6" s="17">
        <f>Realistic!AL15</f>
        <v>2633.5131877091917</v>
      </c>
      <c r="D6" s="17">
        <f>Ambitious!AL15</f>
        <v>4432.7740560152915</v>
      </c>
      <c r="E6" t="s">
        <v>196</v>
      </c>
    </row>
    <row r="8" spans="1:5" ht="15" customHeight="1" x14ac:dyDescent="0.2">
      <c r="A8" s="5" t="s">
        <v>199</v>
      </c>
      <c r="B8" s="5"/>
      <c r="C8" s="5"/>
      <c r="D8" s="5"/>
      <c r="E8" s="5"/>
    </row>
    <row r="9" spans="1:5" ht="15" customHeight="1" x14ac:dyDescent="0.2">
      <c r="A9" s="8" t="s">
        <v>200</v>
      </c>
      <c r="B9" s="22">
        <f>SUM(Conservative!B24:M24)</f>
        <v>52372.07347049129</v>
      </c>
      <c r="C9" s="22">
        <f>SUM(Realistic!B24:M24)</f>
        <v>74772.400626858187</v>
      </c>
      <c r="D9" s="22">
        <f>SUM(Ambitious!B24:M24)</f>
        <v>121838.2780871734</v>
      </c>
    </row>
    <row r="10" spans="1:5" ht="15" customHeight="1" x14ac:dyDescent="0.2">
      <c r="A10" s="8" t="s">
        <v>201</v>
      </c>
      <c r="B10" s="22">
        <f>SUM(Conservative!N24:Y24)</f>
        <v>338232.71347590094</v>
      </c>
      <c r="C10" s="22">
        <f>SUM(Realistic!N24:Y24)</f>
        <v>566867.51242493768</v>
      </c>
      <c r="D10" s="22">
        <f>SUM(Ambitious!N24:Y24)</f>
        <v>1042874.8094097603</v>
      </c>
    </row>
    <row r="11" spans="1:5" ht="15" customHeight="1" x14ac:dyDescent="0.2">
      <c r="A11" s="8" t="s">
        <v>202</v>
      </c>
      <c r="B11" s="22">
        <f>SUM(Conservative!Z24:AK24)</f>
        <v>902454.45663520112</v>
      </c>
      <c r="C11" s="22">
        <f>SUM(Realistic!Z24:AK24)</f>
        <v>1673152.6013542453</v>
      </c>
      <c r="D11" s="22">
        <f>SUM(Ambitious!Z24:AK24)</f>
        <v>3475421.7657208969</v>
      </c>
    </row>
    <row r="12" spans="1:5" ht="15" customHeight="1" x14ac:dyDescent="0.2">
      <c r="A12" s="8" t="s">
        <v>203</v>
      </c>
      <c r="B12" s="22">
        <f>Conservative!N26</f>
        <v>136074.27250538612</v>
      </c>
      <c r="C12" s="22">
        <f>Realistic!N26</f>
        <v>202266.41327098914</v>
      </c>
      <c r="D12" s="22">
        <f>Ambitious!N26</f>
        <v>345078.78158428555</v>
      </c>
      <c r="E12" t="s">
        <v>204</v>
      </c>
    </row>
    <row r="13" spans="1:5" ht="15" customHeight="1" x14ac:dyDescent="0.2">
      <c r="A13" s="8" t="s">
        <v>205</v>
      </c>
      <c r="B13" s="22">
        <f>Conservative!Z26</f>
        <v>467868.94771490875</v>
      </c>
      <c r="C13" s="22">
        <f>Realistic!Z26</f>
        <v>833635.27322558477</v>
      </c>
      <c r="D13" s="22">
        <f>Ambitious!Z26</f>
        <v>1667110.8560780569</v>
      </c>
      <c r="E13" t="s">
        <v>204</v>
      </c>
    </row>
    <row r="14" spans="1:5" ht="15" customHeight="1" x14ac:dyDescent="0.2">
      <c r="A14" s="8" t="s">
        <v>206</v>
      </c>
      <c r="B14" s="22">
        <f>Conservative!AL26</f>
        <v>101686.14276082486</v>
      </c>
      <c r="C14" s="22">
        <f>Realistic!AL26</f>
        <v>145185.84405378407</v>
      </c>
      <c r="D14" s="22">
        <f>Ambitious!AL26</f>
        <v>249955.44167051208</v>
      </c>
      <c r="E14" t="s">
        <v>204</v>
      </c>
    </row>
    <row r="16" spans="1:5" ht="15" customHeight="1" x14ac:dyDescent="0.2">
      <c r="A16" s="5" t="s">
        <v>207</v>
      </c>
      <c r="B16" s="5"/>
      <c r="C16" s="5"/>
      <c r="D16" s="5"/>
      <c r="E16" s="5"/>
    </row>
    <row r="17" spans="1:5" ht="15" customHeight="1" x14ac:dyDescent="0.2">
      <c r="A17" s="8" t="s">
        <v>208</v>
      </c>
      <c r="B17" s="18">
        <f>SUM(Conservative!B24:M24)-SUM(Conservative!B19:M19)</f>
        <v>52372.07347049129</v>
      </c>
      <c r="C17" s="8" t="s">
        <v>209</v>
      </c>
      <c r="D17" s="8" t="s">
        <v>209</v>
      </c>
      <c r="E17" t="s">
        <v>210</v>
      </c>
    </row>
    <row r="18" spans="1:5" ht="15" customHeight="1" x14ac:dyDescent="0.2">
      <c r="A18" s="8" t="s">
        <v>211</v>
      </c>
      <c r="B18" s="18">
        <f>SUM(Conservative!N24:Y24)-SUM(Conservative!N19:Y19)</f>
        <v>323024.34130269423</v>
      </c>
      <c r="C18" s="8" t="s">
        <v>209</v>
      </c>
      <c r="D18" s="8" t="s">
        <v>209</v>
      </c>
      <c r="E18" t="s">
        <v>210</v>
      </c>
    </row>
    <row r="19" spans="1:5" ht="15" customHeight="1" x14ac:dyDescent="0.2">
      <c r="A19" s="8" t="s">
        <v>212</v>
      </c>
      <c r="B19" s="18">
        <f>SUM(Conservative!Z24:AK24)-SUM(Conservative!Z19:AK19)</f>
        <v>836850.59791524778</v>
      </c>
      <c r="C19" s="8" t="s">
        <v>209</v>
      </c>
      <c r="D19" s="8" t="s">
        <v>209</v>
      </c>
      <c r="E19" t="s">
        <v>210</v>
      </c>
    </row>
    <row r="20" spans="1:5" ht="15" customHeight="1" x14ac:dyDescent="0.2">
      <c r="A20" s="8" t="s">
        <v>213</v>
      </c>
      <c r="B20" s="22">
        <f>SUM(Conservative!B46:M46)</f>
        <v>-124453.96267415193</v>
      </c>
      <c r="C20" s="22">
        <f>SUM(Realistic!B46:M46)</f>
        <v>-125659.20623204096</v>
      </c>
      <c r="D20" s="22">
        <f>SUM(Ambitious!B46:M46)</f>
        <v>-120024.90139951836</v>
      </c>
    </row>
    <row r="21" spans="1:5" ht="15" customHeight="1" x14ac:dyDescent="0.2">
      <c r="A21" s="8" t="s">
        <v>214</v>
      </c>
      <c r="B21" s="22">
        <f>SUM(Conservative!N46:Y46)</f>
        <v>-345416.85880220524</v>
      </c>
      <c r="C21" s="22">
        <f>SUM(Realistic!N46:Y46)</f>
        <v>-295089.18151511805</v>
      </c>
      <c r="D21" s="22">
        <f>SUM(Ambitious!N46:Y46)</f>
        <v>-72382.360574263163</v>
      </c>
    </row>
    <row r="22" spans="1:5" ht="15" customHeight="1" x14ac:dyDescent="0.2">
      <c r="A22" s="8" t="s">
        <v>215</v>
      </c>
      <c r="B22" s="22">
        <f>SUM(Conservative!Z46:AK46)</f>
        <v>-186376.65290249157</v>
      </c>
      <c r="C22" s="22">
        <f>SUM(Realistic!Z46:AK46)</f>
        <v>-87501.963887822669</v>
      </c>
      <c r="D22" s="22">
        <f>SUM(Ambitious!Z46:AK46)</f>
        <v>751389.15668217547</v>
      </c>
    </row>
    <row r="24" spans="1:5" ht="15" customHeight="1" x14ac:dyDescent="0.2">
      <c r="A24" s="5" t="s">
        <v>216</v>
      </c>
      <c r="B24" s="5"/>
      <c r="C24" s="5"/>
      <c r="D24" s="5"/>
      <c r="E24" s="5"/>
    </row>
    <row r="25" spans="1:5" ht="15" customHeight="1" x14ac:dyDescent="0.2">
      <c r="A25" s="8" t="s">
        <v>217</v>
      </c>
      <c r="B25" s="22">
        <f>Conservative!N48</f>
        <v>1686081.1576821902</v>
      </c>
      <c r="C25" s="22">
        <f>Realistic!N48</f>
        <v>3179101.8712928775</v>
      </c>
      <c r="D25" s="22">
        <f>Ambitious!N48</f>
        <v>5182454.65796661</v>
      </c>
      <c r="E25" t="s">
        <v>218</v>
      </c>
    </row>
    <row r="26" spans="1:5" ht="15" customHeight="1" x14ac:dyDescent="0.2">
      <c r="A26" s="8" t="s">
        <v>219</v>
      </c>
      <c r="B26" s="22">
        <f>Conservative!Z48</f>
        <v>1340615.5455291532</v>
      </c>
      <c r="C26" s="22">
        <f>Realistic!Z48</f>
        <v>2875895.0057874359</v>
      </c>
      <c r="D26" s="22">
        <f>Ambitious!Z48</f>
        <v>5137561.1172623904</v>
      </c>
      <c r="E26" t="s">
        <v>218</v>
      </c>
    </row>
    <row r="27" spans="1:5" ht="15" customHeight="1" x14ac:dyDescent="0.2">
      <c r="A27" s="8" t="s">
        <v>220</v>
      </c>
      <c r="B27" s="22">
        <f>Conservative!AL48</f>
        <v>225546.0373258481</v>
      </c>
      <c r="C27" s="22">
        <f>Realistic!AL48</f>
        <v>224340.79376795902</v>
      </c>
      <c r="D27" s="22">
        <f>Ambitious!AL48</f>
        <v>229975.09860048164</v>
      </c>
      <c r="E27" t="s">
        <v>218</v>
      </c>
    </row>
    <row r="29" spans="1:5" ht="15" customHeight="1" x14ac:dyDescent="0.2">
      <c r="A29" s="5" t="s">
        <v>221</v>
      </c>
      <c r="B29" s="5"/>
      <c r="C29" s="5"/>
      <c r="D29" s="5"/>
      <c r="E29" s="5"/>
    </row>
    <row r="30" spans="1:5" ht="15" customHeight="1" x14ac:dyDescent="0.2">
      <c r="A30" s="15" t="s">
        <v>222</v>
      </c>
      <c r="B30" s="4" t="s">
        <v>223</v>
      </c>
      <c r="C30" s="4"/>
      <c r="D30" s="4"/>
      <c r="E30" s="4"/>
    </row>
    <row r="31" spans="1:5" ht="15" customHeight="1" x14ac:dyDescent="0.2">
      <c r="A31" s="15" t="s">
        <v>224</v>
      </c>
      <c r="B31" s="4" t="s">
        <v>225</v>
      </c>
      <c r="C31" s="4"/>
      <c r="D31" s="4"/>
      <c r="E31" s="4"/>
    </row>
    <row r="32" spans="1:5" ht="15" customHeight="1" x14ac:dyDescent="0.2">
      <c r="A32" s="15" t="s">
        <v>226</v>
      </c>
      <c r="B32" s="4" t="s">
        <v>227</v>
      </c>
      <c r="C32" s="4"/>
      <c r="D32" s="4"/>
      <c r="E32" s="4"/>
    </row>
    <row r="33" spans="1:5" ht="15" customHeight="1" x14ac:dyDescent="0.2">
      <c r="A33" s="15" t="s">
        <v>228</v>
      </c>
      <c r="B33" s="4" t="s">
        <v>229</v>
      </c>
      <c r="C33" s="4"/>
      <c r="D33" s="4"/>
      <c r="E33" s="4"/>
    </row>
    <row r="34" spans="1:5" ht="15" customHeight="1" x14ac:dyDescent="0.2">
      <c r="A34" s="15" t="s">
        <v>230</v>
      </c>
      <c r="B34" s="4" t="s">
        <v>231</v>
      </c>
      <c r="C34" s="4"/>
      <c r="D34" s="4"/>
      <c r="E34" s="4"/>
    </row>
    <row r="35" spans="1:5" ht="15" customHeight="1" x14ac:dyDescent="0.2">
      <c r="A35" s="15" t="s">
        <v>232</v>
      </c>
      <c r="B35" s="4" t="s">
        <v>233</v>
      </c>
      <c r="C35" s="4"/>
      <c r="D35" s="4"/>
      <c r="E35" s="4"/>
    </row>
    <row r="36" spans="1:5" ht="15" customHeight="1" x14ac:dyDescent="0.2">
      <c r="A36" s="15" t="s">
        <v>234</v>
      </c>
      <c r="B36" s="4" t="s">
        <v>235</v>
      </c>
      <c r="C36" s="4"/>
      <c r="D36" s="4"/>
      <c r="E36" s="4"/>
    </row>
    <row r="37" spans="1:5" ht="15" customHeight="1" x14ac:dyDescent="0.2">
      <c r="A37" s="15" t="s">
        <v>236</v>
      </c>
      <c r="B37" s="4" t="s">
        <v>237</v>
      </c>
      <c r="C37" s="4"/>
      <c r="D37" s="4"/>
      <c r="E37" s="4"/>
    </row>
    <row r="38" spans="1:5" ht="15" customHeight="1" x14ac:dyDescent="0.2">
      <c r="A38" s="15" t="s">
        <v>238</v>
      </c>
      <c r="B38" s="4" t="s">
        <v>239</v>
      </c>
      <c r="C38" s="4"/>
      <c r="D38" s="4"/>
      <c r="E38" s="4"/>
    </row>
    <row r="39" spans="1:5" ht="15" customHeight="1" x14ac:dyDescent="0.2">
      <c r="A39" s="15" t="s">
        <v>240</v>
      </c>
      <c r="B39" s="4" t="s">
        <v>241</v>
      </c>
      <c r="C39" s="4"/>
      <c r="D39" s="4"/>
      <c r="E39" s="4"/>
    </row>
    <row r="40" spans="1:5" ht="15" customHeight="1" x14ac:dyDescent="0.2">
      <c r="A40" s="15" t="s">
        <v>242</v>
      </c>
      <c r="B40" s="4" t="s">
        <v>243</v>
      </c>
      <c r="C40" s="4"/>
      <c r="D40" s="4"/>
      <c r="E40" s="4"/>
    </row>
    <row r="42" spans="1:5" x14ac:dyDescent="0.2">
      <c r="A42" s="3" t="s">
        <v>244</v>
      </c>
      <c r="B42" s="3"/>
      <c r="C42" s="3"/>
      <c r="D42" s="3"/>
      <c r="E42" s="3"/>
    </row>
    <row r="43" spans="1:5" x14ac:dyDescent="0.2">
      <c r="A43" s="28" t="s">
        <v>245</v>
      </c>
      <c r="B43" s="2" t="s">
        <v>246</v>
      </c>
      <c r="C43" s="2"/>
      <c r="D43" s="2"/>
      <c r="E43" s="2"/>
    </row>
    <row r="44" spans="1:5" x14ac:dyDescent="0.2">
      <c r="A44" s="8" t="s">
        <v>247</v>
      </c>
      <c r="B44" s="1" t="s">
        <v>248</v>
      </c>
      <c r="C44" s="1"/>
      <c r="D44" s="1"/>
      <c r="E44" s="1"/>
    </row>
    <row r="45" spans="1:5" x14ac:dyDescent="0.2">
      <c r="A45" s="8" t="s">
        <v>249</v>
      </c>
      <c r="B45" s="1" t="s">
        <v>250</v>
      </c>
      <c r="C45" s="1"/>
      <c r="D45" s="1"/>
      <c r="E45" s="1"/>
    </row>
    <row r="46" spans="1:5" x14ac:dyDescent="0.2">
      <c r="A46" s="8" t="s">
        <v>251</v>
      </c>
      <c r="B46" s="1" t="s">
        <v>252</v>
      </c>
      <c r="C46" s="1"/>
      <c r="D46" s="1"/>
      <c r="E46" s="1"/>
    </row>
    <row r="47" spans="1:5" x14ac:dyDescent="0.2">
      <c r="A47" s="8" t="s">
        <v>253</v>
      </c>
      <c r="B47" s="1" t="s">
        <v>254</v>
      </c>
      <c r="C47" s="1"/>
      <c r="D47" s="1"/>
      <c r="E47" s="1"/>
    </row>
    <row r="48" spans="1:5" x14ac:dyDescent="0.2">
      <c r="A48" s="8" t="s">
        <v>255</v>
      </c>
      <c r="B48" s="1" t="s">
        <v>256</v>
      </c>
      <c r="C48" s="1"/>
      <c r="D48" s="1"/>
      <c r="E48" s="1"/>
    </row>
    <row r="49" spans="1:5" x14ac:dyDescent="0.2">
      <c r="A49" s="28" t="s">
        <v>257</v>
      </c>
      <c r="B49" s="2" t="s">
        <v>258</v>
      </c>
      <c r="C49" s="2"/>
      <c r="D49" s="2"/>
      <c r="E49" s="2"/>
    </row>
    <row r="50" spans="1:5" x14ac:dyDescent="0.2">
      <c r="A50" s="8" t="s">
        <v>259</v>
      </c>
      <c r="B50" s="1" t="s">
        <v>260</v>
      </c>
      <c r="C50" s="1"/>
      <c r="D50" s="1"/>
      <c r="E50" s="1"/>
    </row>
    <row r="51" spans="1:5" x14ac:dyDescent="0.2">
      <c r="A51" s="8" t="s">
        <v>261</v>
      </c>
      <c r="B51" s="1" t="s">
        <v>262</v>
      </c>
      <c r="C51" s="1"/>
      <c r="D51" s="1"/>
      <c r="E51" s="1"/>
    </row>
    <row r="52" spans="1:5" x14ac:dyDescent="0.2">
      <c r="A52" s="8" t="s">
        <v>263</v>
      </c>
      <c r="B52" s="1" t="s">
        <v>264</v>
      </c>
      <c r="C52" s="1"/>
      <c r="D52" s="1"/>
      <c r="E52" s="1"/>
    </row>
    <row r="53" spans="1:5" x14ac:dyDescent="0.2">
      <c r="A53" s="28" t="s">
        <v>265</v>
      </c>
      <c r="B53" s="2"/>
      <c r="C53" s="2"/>
      <c r="D53" s="2"/>
      <c r="E53" s="2"/>
    </row>
    <row r="54" spans="1:5" x14ac:dyDescent="0.2">
      <c r="A54" s="8" t="s">
        <v>266</v>
      </c>
      <c r="B54" s="1" t="s">
        <v>267</v>
      </c>
      <c r="C54" s="1"/>
      <c r="D54" s="1"/>
      <c r="E54" s="1"/>
    </row>
    <row r="55" spans="1:5" x14ac:dyDescent="0.2">
      <c r="A55" s="8" t="s">
        <v>268</v>
      </c>
      <c r="B55" s="1" t="s">
        <v>269</v>
      </c>
      <c r="C55" s="1"/>
      <c r="D55" s="1"/>
      <c r="E55" s="1"/>
    </row>
    <row r="56" spans="1:5" x14ac:dyDescent="0.2">
      <c r="A56" s="8" t="s">
        <v>270</v>
      </c>
      <c r="B56" s="1" t="s">
        <v>271</v>
      </c>
      <c r="C56" s="1"/>
      <c r="D56" s="1"/>
      <c r="E56" s="1"/>
    </row>
    <row r="57" spans="1:5" x14ac:dyDescent="0.2">
      <c r="A57" s="8" t="s">
        <v>272</v>
      </c>
      <c r="B57" s="1" t="s">
        <v>273</v>
      </c>
      <c r="C57" s="1"/>
      <c r="D57" s="1"/>
      <c r="E57" s="1"/>
    </row>
  </sheetData>
  <mergeCells count="33">
    <mergeCell ref="B55:E55"/>
    <mergeCell ref="B56:E56"/>
    <mergeCell ref="B57:E57"/>
    <mergeCell ref="B50:E50"/>
    <mergeCell ref="B51:E51"/>
    <mergeCell ref="B52:E52"/>
    <mergeCell ref="B53:E53"/>
    <mergeCell ref="B54:E54"/>
    <mergeCell ref="B45:E45"/>
    <mergeCell ref="B46:E46"/>
    <mergeCell ref="B47:E47"/>
    <mergeCell ref="B48:E48"/>
    <mergeCell ref="B49:E49"/>
    <mergeCell ref="B39:E39"/>
    <mergeCell ref="B40:E40"/>
    <mergeCell ref="A42:E42"/>
    <mergeCell ref="B43:E43"/>
    <mergeCell ref="B44:E44"/>
    <mergeCell ref="B34:E34"/>
    <mergeCell ref="B35:E35"/>
    <mergeCell ref="B36:E36"/>
    <mergeCell ref="B37:E37"/>
    <mergeCell ref="B38:E38"/>
    <mergeCell ref="A29:E29"/>
    <mergeCell ref="B30:E30"/>
    <mergeCell ref="B31:E31"/>
    <mergeCell ref="B32:E32"/>
    <mergeCell ref="B33:E33"/>
    <mergeCell ref="A1:E1"/>
    <mergeCell ref="A3:E3"/>
    <mergeCell ref="A8:E8"/>
    <mergeCell ref="A16:E16"/>
    <mergeCell ref="A24:E24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"/>
  <sheetViews>
    <sheetView zoomScaleNormal="100" workbookViewId="0"/>
  </sheetViews>
  <sheetFormatPr baseColWidth="10" defaultColWidth="8.6640625" defaultRowHeight="15" x14ac:dyDescent="0.2"/>
  <cols>
    <col min="1" max="1" width="20" customWidth="1"/>
    <col min="2" max="7" width="14" customWidth="1"/>
  </cols>
  <sheetData>
    <row r="1" spans="1:10" ht="15" customHeight="1" x14ac:dyDescent="0.2">
      <c r="A1" s="6" t="s">
        <v>274</v>
      </c>
      <c r="B1" s="6"/>
      <c r="C1" s="6"/>
      <c r="D1" s="6"/>
      <c r="E1" s="6"/>
      <c r="F1" s="6"/>
      <c r="G1" s="6"/>
      <c r="H1" s="6"/>
      <c r="I1" s="6"/>
      <c r="J1" s="6"/>
    </row>
    <row r="2" spans="1:10" ht="15" customHeight="1" x14ac:dyDescent="0.2">
      <c r="A2" s="15" t="s">
        <v>275</v>
      </c>
    </row>
    <row r="3" spans="1:10" ht="15" customHeight="1" x14ac:dyDescent="0.2">
      <c r="A3" s="15" t="s">
        <v>276</v>
      </c>
      <c r="B3" s="15" t="s">
        <v>277</v>
      </c>
      <c r="C3" s="15" t="s">
        <v>278</v>
      </c>
      <c r="D3" s="15" t="s">
        <v>279</v>
      </c>
      <c r="E3" s="15" t="s">
        <v>280</v>
      </c>
      <c r="F3" s="15" t="s">
        <v>281</v>
      </c>
      <c r="G3" s="15" t="s">
        <v>282</v>
      </c>
    </row>
    <row r="4" spans="1:10" ht="15" customHeight="1" x14ac:dyDescent="0.2">
      <c r="A4" s="15" t="s">
        <v>283</v>
      </c>
      <c r="B4" s="29">
        <v>26</v>
      </c>
      <c r="C4" s="29">
        <v>29</v>
      </c>
      <c r="D4" s="29">
        <v>31</v>
      </c>
      <c r="E4" s="29">
        <v>33</v>
      </c>
      <c r="F4" s="29">
        <v>34</v>
      </c>
      <c r="G4" s="29">
        <v>35</v>
      </c>
    </row>
    <row r="5" spans="1:10" ht="15" customHeight="1" x14ac:dyDescent="0.2">
      <c r="A5" s="15" t="s">
        <v>284</v>
      </c>
      <c r="B5" s="29">
        <v>27</v>
      </c>
      <c r="C5" s="29">
        <v>30</v>
      </c>
      <c r="D5" s="29">
        <v>31</v>
      </c>
      <c r="E5" s="29">
        <v>33</v>
      </c>
      <c r="F5" s="29">
        <v>34</v>
      </c>
      <c r="G5" s="29">
        <v>35</v>
      </c>
    </row>
    <row r="6" spans="1:10" ht="15" customHeight="1" x14ac:dyDescent="0.2">
      <c r="A6" s="15" t="s">
        <v>285</v>
      </c>
      <c r="B6" s="29">
        <v>27</v>
      </c>
      <c r="C6" s="29">
        <v>30</v>
      </c>
      <c r="D6" s="30">
        <v>32</v>
      </c>
      <c r="E6" s="29">
        <v>33</v>
      </c>
      <c r="F6" s="29">
        <v>35</v>
      </c>
      <c r="G6" s="29">
        <v>36</v>
      </c>
    </row>
    <row r="7" spans="1:10" ht="15" customHeight="1" x14ac:dyDescent="0.2">
      <c r="A7" s="15" t="s">
        <v>286</v>
      </c>
      <c r="B7" s="29">
        <v>28</v>
      </c>
      <c r="C7" s="29">
        <v>30</v>
      </c>
      <c r="D7" s="29">
        <v>32</v>
      </c>
      <c r="E7" s="29">
        <v>34</v>
      </c>
      <c r="F7" s="29">
        <v>35</v>
      </c>
      <c r="G7" s="29">
        <v>36</v>
      </c>
    </row>
    <row r="8" spans="1:10" ht="15" customHeight="1" x14ac:dyDescent="0.2">
      <c r="A8" s="15" t="s">
        <v>287</v>
      </c>
      <c r="B8" s="29">
        <v>28</v>
      </c>
      <c r="C8" s="29">
        <v>31</v>
      </c>
      <c r="D8" s="29">
        <v>32</v>
      </c>
      <c r="E8" s="29">
        <v>34</v>
      </c>
      <c r="F8" s="29">
        <v>36</v>
      </c>
      <c r="G8" s="29" t="s">
        <v>288</v>
      </c>
    </row>
    <row r="9" spans="1:10" ht="15" customHeight="1" x14ac:dyDescent="0.2">
      <c r="A9" s="15" t="s">
        <v>289</v>
      </c>
      <c r="B9" s="29">
        <v>28</v>
      </c>
      <c r="C9" s="29">
        <v>31</v>
      </c>
      <c r="D9" s="29">
        <v>33</v>
      </c>
      <c r="E9" s="29">
        <v>35</v>
      </c>
      <c r="F9" s="29">
        <v>36</v>
      </c>
      <c r="G9" s="29" t="s">
        <v>288</v>
      </c>
    </row>
    <row r="11" spans="1:10" ht="15" customHeight="1" x14ac:dyDescent="0.2">
      <c r="A11" s="15" t="s">
        <v>290</v>
      </c>
    </row>
    <row r="12" spans="1:10" ht="15" customHeight="1" x14ac:dyDescent="0.2">
      <c r="A12" s="15" t="s">
        <v>276</v>
      </c>
      <c r="B12" s="15" t="s">
        <v>277</v>
      </c>
      <c r="C12" s="15" t="s">
        <v>278</v>
      </c>
      <c r="D12" s="15" t="s">
        <v>279</v>
      </c>
      <c r="E12" s="15" t="s">
        <v>280</v>
      </c>
      <c r="F12" s="15" t="s">
        <v>281</v>
      </c>
      <c r="G12" s="15" t="s">
        <v>282</v>
      </c>
    </row>
    <row r="13" spans="1:10" ht="15" customHeight="1" x14ac:dyDescent="0.2">
      <c r="A13" s="15" t="s">
        <v>283</v>
      </c>
      <c r="B13" s="31">
        <v>3731245</v>
      </c>
      <c r="C13" s="31">
        <v>3205467</v>
      </c>
      <c r="D13" s="31">
        <v>2992957</v>
      </c>
      <c r="E13" s="31">
        <v>2751751</v>
      </c>
      <c r="F13" s="31">
        <v>2594048</v>
      </c>
      <c r="G13" s="31">
        <v>2488913</v>
      </c>
    </row>
    <row r="14" spans="1:10" ht="15" customHeight="1" x14ac:dyDescent="0.2">
      <c r="A14" s="15" t="s">
        <v>284</v>
      </c>
      <c r="B14" s="31">
        <v>3623696</v>
      </c>
      <c r="C14" s="31">
        <v>3149769</v>
      </c>
      <c r="D14" s="31">
        <v>2947766</v>
      </c>
      <c r="E14" s="31">
        <v>2699194</v>
      </c>
      <c r="F14" s="31">
        <v>2550101</v>
      </c>
      <c r="G14" s="31">
        <v>2450705</v>
      </c>
    </row>
    <row r="15" spans="1:10" ht="15" customHeight="1" x14ac:dyDescent="0.2">
      <c r="A15" s="15" t="s">
        <v>285</v>
      </c>
      <c r="B15" s="31">
        <v>3548973</v>
      </c>
      <c r="C15" s="31">
        <v>3078142</v>
      </c>
      <c r="D15" s="32">
        <v>2886728</v>
      </c>
      <c r="E15" s="31">
        <v>2651291</v>
      </c>
      <c r="F15" s="31">
        <v>2510029</v>
      </c>
      <c r="G15" s="31">
        <v>2415854</v>
      </c>
    </row>
    <row r="16" spans="1:10" ht="15" customHeight="1" x14ac:dyDescent="0.2">
      <c r="A16" s="15" t="s">
        <v>286</v>
      </c>
      <c r="B16" s="31">
        <v>3482364</v>
      </c>
      <c r="C16" s="31">
        <v>3033215</v>
      </c>
      <c r="D16" s="31">
        <v>2831044</v>
      </c>
      <c r="E16" s="31">
        <v>2607510</v>
      </c>
      <c r="F16" s="31">
        <v>2473390</v>
      </c>
      <c r="G16" s="31">
        <v>2383976</v>
      </c>
    </row>
    <row r="17" spans="1:7" ht="15" customHeight="1" x14ac:dyDescent="0.2">
      <c r="A17" s="15" t="s">
        <v>287</v>
      </c>
      <c r="B17" s="31">
        <v>3399659</v>
      </c>
      <c r="C17" s="31">
        <v>2992739</v>
      </c>
      <c r="D17" s="31">
        <v>2780040</v>
      </c>
      <c r="E17" s="31">
        <v>2567390</v>
      </c>
      <c r="F17" s="31">
        <v>2439801</v>
      </c>
      <c r="G17" s="31">
        <v>2354741</v>
      </c>
    </row>
    <row r="18" spans="1:7" ht="15" customHeight="1" x14ac:dyDescent="0.2">
      <c r="A18" s="15" t="s">
        <v>289</v>
      </c>
      <c r="B18" s="31">
        <v>3345418</v>
      </c>
      <c r="C18" s="31">
        <v>2935869</v>
      </c>
      <c r="D18" s="31">
        <v>2733199</v>
      </c>
      <c r="E18" s="31">
        <v>2530529</v>
      </c>
      <c r="F18" s="31">
        <v>2408927</v>
      </c>
      <c r="G18" s="31">
        <v>2327859</v>
      </c>
    </row>
    <row r="20" spans="1:7" ht="15" customHeight="1" x14ac:dyDescent="0.2">
      <c r="A20" s="15" t="s">
        <v>291</v>
      </c>
    </row>
  </sheetData>
  <mergeCells count="1">
    <mergeCell ref="A1:J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Assumptions</vt:lpstr>
      <vt:lpstr>Conservative</vt:lpstr>
      <vt:lpstr>Realistic</vt:lpstr>
      <vt:lpstr>Ambitious</vt:lpstr>
      <vt:lpstr>Summary</vt:lpstr>
      <vt:lpstr>Sensitivity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Pilar Gonzalez</cp:lastModifiedBy>
  <cp:revision>0</cp:revision>
  <dcterms:created xsi:type="dcterms:W3CDTF">2026-06-12T08:57:00Z</dcterms:created>
  <dcterms:modified xsi:type="dcterms:W3CDTF">2026-06-15T19:44:12Z</dcterms:modified>
  <dc:language>en-US</dc:language>
</cp:coreProperties>
</file>